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OC\container kostprijs\2019-2020\"/>
    </mc:Choice>
  </mc:AlternateContent>
  <bookViews>
    <workbookView xWindow="0" yWindow="0" windowWidth="23040" windowHeight="9084" tabRatio="602"/>
  </bookViews>
  <sheets>
    <sheet name="uitwerkingen huiswerk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0" i="2" l="1"/>
  <c r="F249" i="2"/>
  <c r="E231" i="2"/>
  <c r="E229" i="2"/>
  <c r="E230" i="2"/>
  <c r="E228" i="2"/>
  <c r="F228" i="2" s="1"/>
  <c r="D240" i="2"/>
  <c r="E240" i="2" s="1"/>
  <c r="C241" i="2" s="1"/>
  <c r="D241" i="2" s="1"/>
  <c r="E241" i="2" s="1"/>
  <c r="C242" i="2" s="1"/>
  <c r="D242" i="2" s="1"/>
  <c r="E242" i="2" s="1"/>
  <c r="C243" i="2" s="1"/>
  <c r="E208" i="2"/>
  <c r="F208" i="2" s="1"/>
  <c r="E182" i="2"/>
  <c r="E181" i="2"/>
  <c r="E180" i="2"/>
  <c r="F180" i="2" s="1"/>
  <c r="H198" i="2"/>
  <c r="H199" i="2"/>
  <c r="H200" i="2"/>
  <c r="H201" i="2"/>
  <c r="H197" i="2"/>
  <c r="E201" i="2"/>
  <c r="E200" i="2"/>
  <c r="E199" i="2"/>
  <c r="E198" i="2"/>
  <c r="E197" i="2"/>
  <c r="F197" i="2" s="1"/>
  <c r="F198" i="2" s="1"/>
  <c r="E187" i="2"/>
  <c r="E188" i="2"/>
  <c r="E189" i="2"/>
  <c r="E190" i="2"/>
  <c r="E186" i="2"/>
  <c r="F186" i="2" s="1"/>
  <c r="E170" i="2"/>
  <c r="E171" i="2" s="1"/>
  <c r="C170" i="2"/>
  <c r="C171" i="2"/>
  <c r="C172" i="2" s="1"/>
  <c r="F169" i="2"/>
  <c r="H169" i="2" s="1"/>
  <c r="F170" i="2"/>
  <c r="G170" i="2"/>
  <c r="G171" i="2" s="1"/>
  <c r="G172" i="2" s="1"/>
  <c r="D156" i="2"/>
  <c r="E156" i="2" s="1"/>
  <c r="C157" i="2" s="1"/>
  <c r="D157" i="2" s="1"/>
  <c r="D148" i="2"/>
  <c r="D147" i="2"/>
  <c r="C148" i="2"/>
  <c r="D146" i="2"/>
  <c r="E146" i="2" s="1"/>
  <c r="C147" i="2" s="1"/>
  <c r="D137" i="2"/>
  <c r="E137" i="2" s="1"/>
  <c r="C138" i="2" s="1"/>
  <c r="D138" i="2" s="1"/>
  <c r="D124" i="2"/>
  <c r="E124" i="2" s="1"/>
  <c r="C125" i="2" s="1"/>
  <c r="E112" i="2"/>
  <c r="C113" i="2" s="1"/>
  <c r="E113" i="2" s="1"/>
  <c r="C114" i="2" s="1"/>
  <c r="E114" i="2" s="1"/>
  <c r="C115" i="2" s="1"/>
  <c r="E115" i="2" s="1"/>
  <c r="C116" i="2" s="1"/>
  <c r="E116" i="2" s="1"/>
  <c r="D105" i="2"/>
  <c r="D107" i="2" s="1"/>
  <c r="E95" i="2"/>
  <c r="C96" i="2" s="1"/>
  <c r="E96" i="2" s="1"/>
  <c r="C97" i="2" s="1"/>
  <c r="E97" i="2" s="1"/>
  <c r="C98" i="2" s="1"/>
  <c r="E98" i="2" s="1"/>
  <c r="C99" i="2" s="1"/>
  <c r="E99" i="2" s="1"/>
  <c r="D88" i="2"/>
  <c r="D90" i="2" s="1"/>
  <c r="D80" i="2"/>
  <c r="D55" i="2"/>
  <c r="H33" i="2"/>
  <c r="I33" i="2" s="1"/>
  <c r="E16" i="2"/>
  <c r="F16" i="2" s="1"/>
  <c r="E17" i="2"/>
  <c r="F17" i="2" s="1"/>
  <c r="E15" i="2"/>
  <c r="F15" i="2" s="1"/>
  <c r="B28" i="2"/>
  <c r="G249" i="2" l="1"/>
  <c r="H249" i="2" s="1"/>
  <c r="G250" i="2"/>
  <c r="H250" i="2" s="1"/>
  <c r="H170" i="2"/>
  <c r="F181" i="2"/>
  <c r="F182" i="2" s="1"/>
  <c r="D243" i="2"/>
  <c r="E243" i="2" s="1"/>
  <c r="C244" i="2" s="1"/>
  <c r="F187" i="2"/>
  <c r="F188" i="2" s="1"/>
  <c r="F189" i="2" s="1"/>
  <c r="F199" i="2"/>
  <c r="F200" i="2" s="1"/>
  <c r="I197" i="2"/>
  <c r="E172" i="2"/>
  <c r="F172" i="2" s="1"/>
  <c r="H172" i="2" s="1"/>
  <c r="F171" i="2"/>
  <c r="H171" i="2" s="1"/>
  <c r="E157" i="2"/>
  <c r="C158" i="2" s="1"/>
  <c r="D158" i="2" s="1"/>
  <c r="D125" i="2"/>
  <c r="E125" i="2" s="1"/>
  <c r="C126" i="2" s="1"/>
  <c r="E138" i="2"/>
  <c r="C139" i="2" s="1"/>
  <c r="E61" i="2"/>
  <c r="G61" i="2" s="1"/>
  <c r="D62" i="2"/>
  <c r="E62" i="2" s="1"/>
  <c r="F62" i="2"/>
  <c r="F63" i="2" s="1"/>
  <c r="F64" i="2" s="1"/>
  <c r="E55" i="2"/>
  <c r="B55" i="2"/>
  <c r="H44" i="2"/>
  <c r="G44" i="2"/>
  <c r="C50" i="2" s="1"/>
  <c r="D48" i="2"/>
  <c r="E48" i="2" s="1"/>
  <c r="F48" i="2" s="1"/>
  <c r="F44" i="2"/>
  <c r="E47" i="2"/>
  <c r="F47" i="2" s="1"/>
  <c r="D43" i="2"/>
  <c r="C45" i="2"/>
  <c r="D45" i="2" s="1"/>
  <c r="C38" i="2"/>
  <c r="C39" i="2" s="1"/>
  <c r="D40" i="2" s="1"/>
  <c r="I250" i="2" l="1"/>
  <c r="J250" i="2"/>
  <c r="I249" i="2"/>
  <c r="J249" i="2"/>
  <c r="J251" i="2" s="1"/>
  <c r="D244" i="2"/>
  <c r="E244" i="2" s="1"/>
  <c r="I198" i="2"/>
  <c r="I199" i="2"/>
  <c r="I200" i="2" s="1"/>
  <c r="E158" i="2"/>
  <c r="D139" i="2"/>
  <c r="E139" i="2" s="1"/>
  <c r="C140" i="2" s="1"/>
  <c r="D126" i="2"/>
  <c r="E126" i="2" s="1"/>
  <c r="C127" i="2" s="1"/>
  <c r="G62" i="2"/>
  <c r="D49" i="2"/>
  <c r="D63" i="2"/>
  <c r="D28" i="2"/>
  <c r="C28" i="2"/>
  <c r="C27" i="2"/>
  <c r="E23" i="2"/>
  <c r="G23" i="2" s="1"/>
  <c r="E24" i="2"/>
  <c r="G24" i="2" s="1"/>
  <c r="E25" i="2"/>
  <c r="G25" i="2" s="1"/>
  <c r="E26" i="2"/>
  <c r="G26" i="2" s="1"/>
  <c r="E22" i="2"/>
  <c r="G22" i="2" s="1"/>
  <c r="D127" i="2" l="1"/>
  <c r="E127" i="2" s="1"/>
  <c r="C128" i="2" s="1"/>
  <c r="D128" i="2" s="1"/>
  <c r="E128" i="2" s="1"/>
  <c r="C129" i="2" s="1"/>
  <c r="D129" i="2" s="1"/>
  <c r="E129" i="2" s="1"/>
  <c r="C130" i="2" s="1"/>
  <c r="D140" i="2"/>
  <c r="E140" i="2" s="1"/>
  <c r="D64" i="2"/>
  <c r="E64" i="2" s="1"/>
  <c r="G64" i="2" s="1"/>
  <c r="E63" i="2"/>
  <c r="G63" i="2" s="1"/>
  <c r="E49" i="2"/>
  <c r="F49" i="2" s="1"/>
  <c r="D50" i="2"/>
  <c r="D130" i="2" l="1"/>
  <c r="E130" i="2"/>
  <c r="C131" i="2" s="1"/>
  <c r="D51" i="2"/>
  <c r="E51" i="2" s="1"/>
  <c r="F51" i="2" s="1"/>
  <c r="E50" i="2"/>
  <c r="F50" i="2" s="1"/>
  <c r="D131" i="2" l="1"/>
  <c r="E131" i="2"/>
  <c r="E148" i="2"/>
  <c r="C149" i="2" s="1"/>
  <c r="E147" i="2" l="1"/>
</calcChain>
</file>

<file path=xl/sharedStrings.xml><?xml version="1.0" encoding="utf-8"?>
<sst xmlns="http://schemas.openxmlformats.org/spreadsheetml/2006/main" count="270" uniqueCount="220">
  <si>
    <t>machine type</t>
  </si>
  <si>
    <t>aanschaf</t>
  </si>
  <si>
    <t xml:space="preserve">levensduur </t>
  </si>
  <si>
    <t>afschrijving</t>
  </si>
  <si>
    <t>procenten</t>
  </si>
  <si>
    <t>Machine A</t>
  </si>
  <si>
    <t>5 jaar</t>
  </si>
  <si>
    <t>Machine C</t>
  </si>
  <si>
    <t>Machine B</t>
  </si>
  <si>
    <t>opgave 3.2</t>
  </si>
  <si>
    <t>levensduur</t>
  </si>
  <si>
    <t>complemen</t>
  </si>
  <si>
    <t>tot. Kosten</t>
  </si>
  <si>
    <t>kosten per eenheid</t>
  </si>
  <si>
    <t>tot. prod.</t>
  </si>
  <si>
    <t>3,3A</t>
  </si>
  <si>
    <t>3,3B</t>
  </si>
  <si>
    <t>9 maanden</t>
  </si>
  <si>
    <t>boekwaarde</t>
  </si>
  <si>
    <t>werkjaar</t>
  </si>
  <si>
    <t>12 maanden</t>
  </si>
  <si>
    <t>3 maanden</t>
  </si>
  <si>
    <t>24 maanden</t>
  </si>
  <si>
    <t>per maand</t>
  </si>
  <si>
    <t>rest waarde</t>
  </si>
  <si>
    <t>af te schrijven</t>
  </si>
  <si>
    <t>per jaar</t>
  </si>
  <si>
    <t>percentage</t>
  </si>
  <si>
    <t>*100</t>
  </si>
  <si>
    <t>jaar</t>
  </si>
  <si>
    <t>onderhoud (cumulatief)</t>
  </si>
  <si>
    <t>totaal</t>
  </si>
  <si>
    <t>gemiddelde kosten per jaar</t>
  </si>
  <si>
    <t xml:space="preserve">aanschaf </t>
  </si>
  <si>
    <t>restwaarde</t>
  </si>
  <si>
    <t xml:space="preserve">af te schrijven </t>
  </si>
  <si>
    <t>afschrijving aanschaf -/-inruil(boekwaarde)</t>
  </si>
  <si>
    <t>economische levensduur</t>
  </si>
  <si>
    <t>economische levensduur, nu inruilen</t>
  </si>
  <si>
    <t>3,6a</t>
  </si>
  <si>
    <t xml:space="preserve">3,6b </t>
  </si>
  <si>
    <t>afschrijvingspercentage over drie jaar</t>
  </si>
  <si>
    <t>in 3 jaar =</t>
  </si>
  <si>
    <t>procent</t>
  </si>
  <si>
    <t>gemiddelde kosten per product</t>
  </si>
  <si>
    <t>totaal kosten</t>
  </si>
  <si>
    <t>is niet meer gegeven of nodig</t>
  </si>
  <si>
    <t>Even een korte uitleg hoe je de uitwerkingen in deze somen kunt lezen. Sommige getallen worden automatisch</t>
  </si>
  <si>
    <t>zo lijkt het uitgerekend. Hoe dat het gebeurd kun je alsvolgt zien/ontdekken. Ik geef een voorbeeld aan de hand</t>
  </si>
  <si>
    <t>Machine A kost bij de aanschaf €8000. Dat er een euroteken veschijnt komt omdat het vakje op valuta is gezet. Hoe doe je dat?</t>
  </si>
  <si>
    <t xml:space="preserve">Midden boven in de adresbalk staat nu boven de Kolomaanduiding E het woordje "standaard". </t>
  </si>
  <si>
    <t>Dat kun je met het pijltje veranderen door daar bijv "valuta" aan te klikken.</t>
  </si>
  <si>
    <t>Dat komt omdat ik de cellen onder afschrijvingen de opdracht heb gegeven de aanschaf te delen door de levensduur.</t>
  </si>
  <si>
    <t>Ga op die €800 staan en kijk in de witte balk boven ABCDE enz. wat daar staat en ga met de muis daar staan.</t>
  </si>
  <si>
    <t xml:space="preserve">Levensduur is gegeven en is 10 jaar, daardoor wordt de afschrijving automatisch €800. </t>
  </si>
  <si>
    <t xml:space="preserve">Je ziet in de tabel dan twee vakjes opkleuren met dezelfde kleuren als de rekenformule. Daar staat </t>
  </si>
  <si>
    <t>levensduur jaren</t>
  </si>
  <si>
    <t>Verander de 10 van levensduur eens in 15, wat gebeurt er? Zet het weer terug op 10</t>
  </si>
  <si>
    <t>het zelfde verhaal geldt ook voor de kolom met "procenten". Ga maar eens op de 10% staan en kijk wat er in de witte balk aan formule staat.</t>
  </si>
  <si>
    <t>dus per maand wordt dat</t>
  </si>
  <si>
    <t>2400/15000=</t>
  </si>
  <si>
    <t>omdat hier de gemiddelde kosten weer omhoog gaan</t>
  </si>
  <si>
    <t>afschrijving = aanschaf -/-inruil (=boekwaarde)</t>
  </si>
  <si>
    <t>de technische levensduur is 4 jaar, omdat in het 5e jaar er 0 (nul) productie is. De machine doet het dus niet meer.</t>
  </si>
  <si>
    <t>totaal aantal eenheden</t>
  </si>
  <si>
    <t>3,7-1</t>
  </si>
  <si>
    <t>3,7-2</t>
  </si>
  <si>
    <t>3,7-3</t>
  </si>
  <si>
    <t>aanschafprijs</t>
  </si>
  <si>
    <t>afschrijvingspercentage is "aanschafprijs -/- restwaarde" en dat delen door 2 (aantal economische levensjaren)</t>
  </si>
  <si>
    <t>dan heb je het bedrag dat er per jaar wordt afgeschreven. En dat bedrag wordt weer gedeeld door de aanschafprijs keer 100.</t>
  </si>
  <si>
    <t>3,7-4</t>
  </si>
  <si>
    <t>Dat wordt dan: 55.000/130.000= 0,4230769230769231. dit keer 100 = 42,30769230769231 = 42,3% afgerond.</t>
  </si>
  <si>
    <t>Dus: (130.000 -/- 20.000 = 110.000€. Dat delen door 2: 110.000/2= 55.000€. Dat delen door de aanschafprijs.</t>
  </si>
  <si>
    <t>Dat gaat als volgt: (130.000 -/- 20.000 = 110.000€. Dat delen door 4: 110.000/4= 27.500€. Dat delen door de aanschafprijs.</t>
  </si>
  <si>
    <t>Dat wordt dan: 27.500/130.000=0,2115384615384615. Dit keer 100 = 21,15384615384615 = 21,2% afgerond.</t>
  </si>
  <si>
    <t>Waarom moet je de restwaarde niet meerekenen in de afschrijving? Omdat je dit bedrag terugkrijgt na afloop.</t>
  </si>
  <si>
    <t>De afschrijving mag je de klant in rekening brengen. En wat je terugkrijgt hoef je als bedrijf de klant niet in rekening te brengen.</t>
  </si>
  <si>
    <t>Kassasysteem aanschaf</t>
  </si>
  <si>
    <t>afschrijving totaal</t>
  </si>
  <si>
    <t>economische levensduur 8jaar</t>
  </si>
  <si>
    <t>€8.000/8=</t>
  </si>
  <si>
    <t>per jaar afschrijven</t>
  </si>
  <si>
    <t>-/- de restwaarde</t>
  </si>
  <si>
    <t>aanschafwaarde</t>
  </si>
  <si>
    <t>instalatiekosten</t>
  </si>
  <si>
    <t>totale kosten</t>
  </si>
  <si>
    <t>sloopkosten na 5 jaar</t>
  </si>
  <si>
    <t>Je hebt de machine 5 jaar dus dit bedrag moet je in 5 jaar afschrijven. Dus €145.000/5=€29.000 per jaar</t>
  </si>
  <si>
    <t>in een tabel ziet dat er als volgt uit:</t>
  </si>
  <si>
    <t>begin boekjaar</t>
  </si>
  <si>
    <t>nieuwe boekwaarde</t>
  </si>
  <si>
    <t>totale/nieuwe boekwaarde</t>
  </si>
  <si>
    <t>zijn de totale aanschafkosten inclusief sloopkosten en instalatie kosten</t>
  </si>
  <si>
    <t>= de restwaarde.</t>
  </si>
  <si>
    <t>dit bedrag wordt afgeschreven</t>
  </si>
  <si>
    <t>deze is ongeveer hetzelfde als 3,11</t>
  </si>
  <si>
    <r>
      <t xml:space="preserve">Je berekend eerst de </t>
    </r>
    <r>
      <rPr>
        <u/>
        <sz val="11"/>
        <color theme="1"/>
        <rFont val="Arial"/>
        <family val="2"/>
      </rPr>
      <t>totale</t>
    </r>
    <r>
      <rPr>
        <sz val="11"/>
        <color theme="1"/>
        <rFont val="Arial"/>
        <family val="2"/>
      </rPr>
      <t xml:space="preserve"> kosten die moet maken bij de aanschaf van de machine, daarna verminder je dat met de restwaarde.</t>
    </r>
  </si>
  <si>
    <t>Je hebt de machine 5 jaar dus dit bedrag moet je in 5 jaar afschrijven. Dus €52.000/5=€10.400 per jaar</t>
  </si>
  <si>
    <t>Daarmee/daardoor kom je nooit op 0 (nul) uit.</t>
  </si>
  <si>
    <t xml:space="preserve">Bij deze en de volgende opdracht schrijven we een VAST percentage van de BOEKwaarde af. </t>
  </si>
  <si>
    <t>De bedragen worden op hele euro's afgerond.</t>
  </si>
  <si>
    <t>Jaar</t>
  </si>
  <si>
    <t>boekwaarde op 1 januari</t>
  </si>
  <si>
    <t>jaarafschrijving (=30% van boekwaarde)</t>
  </si>
  <si>
    <t>boekwaarde 31 december</t>
  </si>
  <si>
    <t>jaarafschrijving (=25% van boekwaarde)</t>
  </si>
  <si>
    <t>25% van de boekwaarde is dus:25.000*(25/100) dat er af gaat.</t>
  </si>
  <si>
    <t>Deze som loopt ongeveer gelijk aan 3,14 alleen nu wordt er een vergelijk gemaakt met de lineaire afschrijving.</t>
  </si>
  <si>
    <t>De afschrijvingen bij de opgaven 3,11 en 3,12 noemen we lineair. Dat wil zeggen elk jaar het zelfde bedrag afschrijven.</t>
  </si>
  <si>
    <t>Conclusie die we hieraan kunnen verbinden is dat we kunnen zien de machine na 3 jaar nog €4.116 waard is en dat we het daarvoor moeten zien te verkopen.</t>
  </si>
  <si>
    <t>Eerst afschrijven met een vast percentage van de boekwaarde</t>
  </si>
  <si>
    <t>Nu bekijken we de afschrijving via de lineaire methode.</t>
  </si>
  <si>
    <t>jaarafschrijving (=30% van aanschafwaarde)</t>
  </si>
  <si>
    <t>30% van de boekwaarde is dus in eerste jaar :12.000*(30/100) dat er af gaat.</t>
  </si>
  <si>
    <t>30% van de boekwaarde is dus in tweede jaar :8.400*(30/100) dat er af gaat, enzovoort.</t>
  </si>
  <si>
    <t>30% van de aanschafwaarde is dus:12.000*(30/100) dat er elk jaar af gaat.</t>
  </si>
  <si>
    <t>Conclusie hier is dat de machine na 3 jaar niets meer waard is en kan worden weggedaan.</t>
  </si>
  <si>
    <t>jaarafschrijving (=40% van boekwaarde)</t>
  </si>
  <si>
    <t>40% van de boekwaarde is dus in eerste jaar :25.000*(40/100) dat er af gaat.</t>
  </si>
  <si>
    <t>40% van de boekwaarde is dus in tweede jaar :15.000*(40/100) dat er af gaat, enzovoort.</t>
  </si>
  <si>
    <t>De afschrijvingen voor de jaren 1, 2 en 3 zijn geel gearceerd.</t>
  </si>
  <si>
    <t>Lineaire afschrijvingen per jaar</t>
  </si>
  <si>
    <t>3,19-1</t>
  </si>
  <si>
    <t>Produceer je twee jaar dan is de afschrijving €130.000 -/- €30.000 gedeeld door 2.</t>
  </si>
  <si>
    <t>Produceer je drie jaar dan is de afschrijving €130.000 -/- €30.000 gedeeld door 3 enzovoort.</t>
  </si>
  <si>
    <t>Als je lineair afschrijft dan schrijf je per aantal jaren dat je hebt geproduceerd de aanschafwaarde minus de restwaarde af.</t>
  </si>
  <si>
    <t>totaal aantal eenheden, cumulatief</t>
  </si>
  <si>
    <t>Omdat je de kosten van het vorige jaar ook moet betalen zijn ze dus cumulatief (de voorgaande jaren er bij optellen)</t>
  </si>
  <si>
    <t>De totale kosten die je hebt deel je door het totaal aantal producten die zijn gemaakt, dus die zijn ook cumulatief (optellen dus)</t>
  </si>
  <si>
    <t>complementaire kosten cumulatief</t>
  </si>
  <si>
    <t xml:space="preserve">Dus hier als je één jaar hebt geproduceerd, is de afschrijving €130.000-/-€30.000 gedeeld door 1. </t>
  </si>
  <si>
    <t>De economische levensduur is dus 3 jaar, want daar zijn de gemiddelde kosten per product het laagst.</t>
  </si>
  <si>
    <t>3,19-2</t>
  </si>
  <si>
    <t>de Technische levensduur is 4 jaar, want in het 5e jaar is de productie 0 (nul). Dus de machine produceerd niets meer, is dus kapot.</t>
  </si>
  <si>
    <t>Hier wordt niet gesproken dat de Spelendoos iets van het geleende bedrag aflost. Dus de schuld blijft alle jaren het zelfde.</t>
  </si>
  <si>
    <t>geleend bedrag</t>
  </si>
  <si>
    <t>rentepercentage</t>
  </si>
  <si>
    <t>te betalen rente</t>
  </si>
  <si>
    <t>totaal te betalen rente</t>
  </si>
  <si>
    <t>3,24-1</t>
  </si>
  <si>
    <r>
      <t>De spelendoos betaald dus in totaal €2.400 aan rente (</t>
    </r>
    <r>
      <rPr>
        <i/>
        <sz val="11"/>
        <color theme="1"/>
        <rFont val="Arial"/>
        <family val="2"/>
      </rPr>
      <t>en in het laatste jaar ook de €8.600 erbij terug</t>
    </r>
    <r>
      <rPr>
        <sz val="11"/>
        <color theme="1"/>
        <rFont val="Arial"/>
        <family val="2"/>
      </rPr>
      <t>).</t>
    </r>
  </si>
  <si>
    <t>De Groene Boom wil een auto kopen, die kost €36.000. Bij bank A betaalt hij 6,5% en bij bank B 6,9% rente.</t>
  </si>
  <si>
    <t>rentepercentage bank A</t>
  </si>
  <si>
    <t>rentepercentage bank B</t>
  </si>
  <si>
    <t>Er wordt niet gesteld dat er wordt afgelost, dus de lening blijft al die jaren het zelfde.</t>
  </si>
  <si>
    <t>Voor het 5e jaar wordt er niets uitgerekend, want hij wil er maar 4 jaar mee doen.</t>
  </si>
  <si>
    <t>van opgave 3.2. Opgave 3.1 hebben we klassikaal behandeld en staat helemaal op het einde.</t>
  </si>
  <si>
    <t>Hier wordt niet gesproken dat Lutex iets van het geleende bedrag aflost. Dus de schuld blijft alle jaren het zelfde.</t>
  </si>
  <si>
    <t xml:space="preserve">Als iemand geld leent dan wordt het rente percentage altijd per jaar gegeven, tenzij er bij staat dat de rente over een </t>
  </si>
  <si>
    <t>andere periode wordt gerekend. Dus per half jaar, per maand of per kwartaal. Let daar op. Hier is het dus 6,25% per jaar.</t>
  </si>
  <si>
    <t>over tien maanden</t>
  </si>
  <si>
    <t>te betalen rente per jaar</t>
  </si>
  <si>
    <t>Hoe kom ik aan dat bedrag over 10 maanden:</t>
  </si>
  <si>
    <t xml:space="preserve">reken eerst de rente per jaar uit: </t>
  </si>
  <si>
    <t>€3.300 x 6,25</t>
  </si>
  <si>
    <t>= €206</t>
  </si>
  <si>
    <t>Dat bedrag deel je door het aantal maanden per jaar, door 12:</t>
  </si>
  <si>
    <t>=€206</t>
  </si>
  <si>
    <t>dat vermenevuldig je weer met het aantal maanden, dus 10:</t>
  </si>
  <si>
    <t>= €17,167</t>
  </si>
  <si>
    <t>€17,167 *10</t>
  </si>
  <si>
    <t>=€171,67</t>
  </si>
  <si>
    <t>afgerond:</t>
  </si>
  <si>
    <t>Als het geen schrikkeljaar is stellen we het jaar altijd op 365 dagen, tenzij het anders is vermeld.</t>
  </si>
  <si>
    <t>Let er wel op dat de maanden niet allemaal het zelfde aantal dagen hebben, dat is ERG BELANGRIJK.</t>
  </si>
  <si>
    <t>Geleend bedrag is €35.000 tegen een rente van 8% per jaar.</t>
  </si>
  <si>
    <t>Dan is het rentebedrag per jaar:</t>
  </si>
  <si>
    <t>€35.000*8</t>
  </si>
  <si>
    <t>=€2.800</t>
  </si>
  <si>
    <t>periode 11februari-27 mei:</t>
  </si>
  <si>
    <t>aantal dagen</t>
  </si>
  <si>
    <t>periode 5 januari-12 juni:</t>
  </si>
  <si>
    <t>periode 17 mei- 28 november:</t>
  </si>
  <si>
    <t>periode 15 maart- 23 december:</t>
  </si>
  <si>
    <t>Als we spreken over samengesteld rente dan wordt er rente over rente gerekend. Dus als er niet wordt afgelost</t>
  </si>
  <si>
    <t>dan tellen we de rente bij de schuld/geleende bedrag op en reken daarover ook weer rente.</t>
  </si>
  <si>
    <t>€20.500*6,2</t>
  </si>
  <si>
    <t>= € 1271</t>
  </si>
  <si>
    <t>Geleend bedrag is €20.500 en de rente is per jaar 6,2%. Dat houdt in dat het eerste jaar al rentekosten heeft van:</t>
  </si>
  <si>
    <t>schuld</t>
  </si>
  <si>
    <t>nieuwe schuld</t>
  </si>
  <si>
    <t>rente 6,2% over de schuld</t>
  </si>
  <si>
    <t>we ronden af op hele bedragen</t>
  </si>
  <si>
    <t>dit is het af te betalen bedrag, als er tussentijds niet wordt afgelost</t>
  </si>
  <si>
    <t>dat delen we door 365 en dan weten we</t>
  </si>
  <si>
    <t>Omdat er niet staat vanaf telt de eerste datum ook mee. En omdat er niet staat tot telt de laatste datum ook mee.</t>
  </si>
  <si>
    <t>18+31+30+27=</t>
  </si>
  <si>
    <t>15+30+31+31+30+31+28=</t>
  </si>
  <si>
    <t>rentebedrag</t>
  </si>
  <si>
    <t>aantallen</t>
  </si>
  <si>
    <t>27+28+31+30+31+12=</t>
  </si>
  <si>
    <t>17+30+31+30+31+31+30+31+30+23=</t>
  </si>
  <si>
    <t>aantal dagen, dat is de rente over die periode</t>
  </si>
  <si>
    <t xml:space="preserve">de rente per dag, is 7,6723. Dan maal het </t>
  </si>
  <si>
    <t xml:space="preserve">2.800/365=7,67123 </t>
  </si>
  <si>
    <t>dat maal 106 =813,1506, bedragen afronden.</t>
  </si>
  <si>
    <t>berekening 1e rente:</t>
  </si>
  <si>
    <t>dat bedrag tellen we dan bij de schuld op en samen is dat de schuld voor het tweede jaar, enz..</t>
  </si>
  <si>
    <t>Deze som hebben we klassikaal behandeld, maar ik zet het hier nog een keer in het overzicht.</t>
  </si>
  <si>
    <t>leeftijd</t>
  </si>
  <si>
    <t>% van minimumloon</t>
  </si>
  <si>
    <t xml:space="preserve">aantal uren werk </t>
  </si>
  <si>
    <t>basis loon</t>
  </si>
  <si>
    <t>8% vakantie toeslag</t>
  </si>
  <si>
    <t xml:space="preserve">loon voor 28% sociale premie </t>
  </si>
  <si>
    <t>sociale premie</t>
  </si>
  <si>
    <t>totale kosten  personeel</t>
  </si>
  <si>
    <t>mede werker</t>
  </si>
  <si>
    <t>Kees</t>
  </si>
  <si>
    <t>Frans</t>
  </si>
  <si>
    <t>dus loon bij 40 uur werk/ aanstelling</t>
  </si>
  <si>
    <t>Het brutominimumloon voor een 23 jarige is op €1.407,60 per maand vastgesteld bij een 40 urige werkweek</t>
  </si>
  <si>
    <t>is percentage van brutominimum</t>
  </si>
  <si>
    <t>delen door 40 en keer dit</t>
  </si>
  <si>
    <t>is het basis loon.</t>
  </si>
  <si>
    <t>Daarvan neem je 8%</t>
  </si>
  <si>
    <t>en tel je erbij op. Over dat bedrag reken je de sociale premies.</t>
  </si>
  <si>
    <t>wat daaruit komt tel er ook wer bij op en dat is totaal</t>
  </si>
  <si>
    <t>korte uitleg van de stappen die zijn gevolgt.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</si>
</sst>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€&quot;\ #,##0;[Red]&quot;€&quot;\ \-#,##0"/>
    <numFmt numFmtId="44" formatCode="_ &quot;€&quot;\ * #,##0.00_ ;_ &quot;€&quot;\ * \-#,##0.00_ ;_ &quot;€&quot;\ * &quot;-&quot;??_ ;_ @_ "/>
    <numFmt numFmtId="164" formatCode="&quot;€&quot;\ #,##0.00"/>
    <numFmt numFmtId="165" formatCode="0.0%"/>
    <numFmt numFmtId="166" formatCode="0.0"/>
    <numFmt numFmtId="171" formatCode="&quot;€&quot;\ #,##0"/>
  </numFmts>
  <fonts count="3" x14ac:knownFonts="1">
    <font>
      <sz val="11"/>
      <color theme="1"/>
      <name val="Arial"/>
      <family val="2"/>
    </font>
    <font>
      <u/>
      <sz val="11"/>
      <color theme="1"/>
      <name val="Arial"/>
      <family val="2"/>
    </font>
    <font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rgb="FFFF0000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164" fontId="0" fillId="0" borderId="1" xfId="0" applyNumberFormat="1" applyBorder="1"/>
    <xf numFmtId="164" fontId="0" fillId="0" borderId="8" xfId="0" applyNumberFormat="1" applyBorder="1"/>
    <xf numFmtId="165" fontId="0" fillId="0" borderId="6" xfId="0" applyNumberFormat="1" applyBorder="1"/>
    <xf numFmtId="165" fontId="0" fillId="0" borderId="9" xfId="0" applyNumberFormat="1" applyBorder="1"/>
    <xf numFmtId="0" fontId="0" fillId="0" borderId="1" xfId="0" applyBorder="1" applyAlignment="1">
      <alignment horizontal="right"/>
    </xf>
    <xf numFmtId="0" fontId="0" fillId="0" borderId="8" xfId="0" applyBorder="1" applyAlignment="1">
      <alignment horizontal="right"/>
    </xf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1" fontId="0" fillId="0" borderId="1" xfId="0" applyNumberFormat="1" applyBorder="1"/>
    <xf numFmtId="10" fontId="0" fillId="0" borderId="0" xfId="0" applyNumberFormat="1"/>
    <xf numFmtId="14" fontId="0" fillId="0" borderId="0" xfId="0" applyNumberFormat="1"/>
    <xf numFmtId="0" fontId="0" fillId="0" borderId="0" xfId="0" applyAlignment="1">
      <alignment horizontal="left"/>
    </xf>
    <xf numFmtId="6" fontId="0" fillId="0" borderId="0" xfId="0" applyNumberFormat="1"/>
    <xf numFmtId="9" fontId="0" fillId="0" borderId="0" xfId="0" applyNumberFormat="1"/>
    <xf numFmtId="0" fontId="0" fillId="0" borderId="9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44" fontId="0" fillId="0" borderId="1" xfId="0" applyNumberFormat="1" applyBorder="1"/>
    <xf numFmtId="44" fontId="0" fillId="0" borderId="6" xfId="0" applyNumberFormat="1" applyBorder="1" applyAlignment="1">
      <alignment wrapText="1"/>
    </xf>
    <xf numFmtId="44" fontId="0" fillId="0" borderId="6" xfId="0" applyNumberFormat="1" applyBorder="1"/>
    <xf numFmtId="166" fontId="0" fillId="0" borderId="0" xfId="0" applyNumberFormat="1"/>
    <xf numFmtId="0" fontId="0" fillId="0" borderId="6" xfId="0" applyNumberFormat="1" applyBorder="1" applyAlignment="1">
      <alignment wrapText="1"/>
    </xf>
    <xf numFmtId="0" fontId="0" fillId="0" borderId="6" xfId="0" applyNumberFormat="1" applyBorder="1"/>
    <xf numFmtId="0" fontId="0" fillId="0" borderId="9" xfId="0" applyNumberFormat="1" applyBorder="1"/>
    <xf numFmtId="0" fontId="0" fillId="3" borderId="5" xfId="0" applyFill="1" applyBorder="1"/>
    <xf numFmtId="44" fontId="0" fillId="3" borderId="1" xfId="0" applyNumberFormat="1" applyFill="1" applyBorder="1"/>
    <xf numFmtId="0" fontId="0" fillId="3" borderId="6" xfId="0" applyNumberFormat="1" applyFill="1" applyBorder="1"/>
    <xf numFmtId="44" fontId="0" fillId="3" borderId="6" xfId="0" applyNumberFormat="1" applyFill="1" applyBorder="1"/>
    <xf numFmtId="164" fontId="0" fillId="3" borderId="0" xfId="0" applyNumberFormat="1" applyFill="1"/>
    <xf numFmtId="44" fontId="0" fillId="0" borderId="0" xfId="0" applyNumberFormat="1"/>
    <xf numFmtId="10" fontId="0" fillId="0" borderId="0" xfId="0" applyNumberFormat="1" applyFill="1"/>
    <xf numFmtId="165" fontId="0" fillId="0" borderId="0" xfId="0" applyNumberFormat="1"/>
    <xf numFmtId="0" fontId="0" fillId="0" borderId="0" xfId="0" applyAlignment="1">
      <alignment horizontal="right"/>
    </xf>
    <xf numFmtId="164" fontId="0" fillId="0" borderId="10" xfId="0" applyNumberFormat="1" applyBorder="1"/>
    <xf numFmtId="0" fontId="0" fillId="0" borderId="0" xfId="0" quotePrefix="1" applyAlignment="1">
      <alignment horizontal="right"/>
    </xf>
    <xf numFmtId="171" fontId="0" fillId="0" borderId="0" xfId="0" applyNumberFormat="1" applyAlignment="1">
      <alignment horizontal="right"/>
    </xf>
    <xf numFmtId="171" fontId="0" fillId="0" borderId="11" xfId="0" applyNumberFormat="1" applyBorder="1" applyAlignment="1">
      <alignment horizontal="right"/>
    </xf>
    <xf numFmtId="0" fontId="0" fillId="0" borderId="2" xfId="0" applyBorder="1" applyAlignment="1">
      <alignment wrapText="1"/>
    </xf>
    <xf numFmtId="171" fontId="0" fillId="0" borderId="1" xfId="0" applyNumberFormat="1" applyBorder="1"/>
    <xf numFmtId="171" fontId="0" fillId="0" borderId="6" xfId="0" applyNumberFormat="1" applyBorder="1"/>
    <xf numFmtId="171" fontId="0" fillId="0" borderId="8" xfId="0" applyNumberFormat="1" applyBorder="1"/>
    <xf numFmtId="171" fontId="0" fillId="2" borderId="1" xfId="0" applyNumberFormat="1" applyFill="1" applyBorder="1"/>
    <xf numFmtId="0" fontId="0" fillId="0" borderId="0" xfId="0" quotePrefix="1"/>
    <xf numFmtId="171" fontId="0" fillId="2" borderId="9" xfId="0" applyNumberFormat="1" applyFill="1" applyBorder="1"/>
    <xf numFmtId="0" fontId="0" fillId="0" borderId="13" xfId="0" applyBorder="1"/>
    <xf numFmtId="0" fontId="0" fillId="0" borderId="15" xfId="0" applyBorder="1"/>
    <xf numFmtId="0" fontId="0" fillId="0" borderId="17" xfId="0" applyBorder="1"/>
    <xf numFmtId="0" fontId="0" fillId="0" borderId="20" xfId="0" applyBorder="1"/>
    <xf numFmtId="0" fontId="0" fillId="0" borderId="21" xfId="0" applyBorder="1"/>
    <xf numFmtId="0" fontId="0" fillId="0" borderId="23" xfId="0" applyBorder="1"/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164" fontId="0" fillId="0" borderId="21" xfId="0" applyNumberFormat="1" applyBorder="1"/>
    <xf numFmtId="164" fontId="0" fillId="0" borderId="22" xfId="0" applyNumberFormat="1" applyBorder="1"/>
    <xf numFmtId="164" fontId="0" fillId="0" borderId="16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71" fontId="0" fillId="0" borderId="21" xfId="0" applyNumberFormat="1" applyBorder="1"/>
    <xf numFmtId="171" fontId="0" fillId="0" borderId="22" xfId="0" applyNumberFormat="1" applyBorder="1"/>
    <xf numFmtId="171" fontId="0" fillId="0" borderId="16" xfId="0" applyNumberFormat="1" applyBorder="1"/>
    <xf numFmtId="171" fontId="0" fillId="0" borderId="18" xfId="0" applyNumberFormat="1" applyBorder="1"/>
    <xf numFmtId="171" fontId="0" fillId="0" borderId="19" xfId="0" applyNumberFormat="1" applyBorder="1"/>
    <xf numFmtId="0" fontId="0" fillId="2" borderId="15" xfId="0" applyFill="1" applyBorder="1"/>
    <xf numFmtId="171" fontId="0" fillId="2" borderId="16" xfId="0" applyNumberFormat="1" applyFill="1" applyBorder="1"/>
    <xf numFmtId="171" fontId="0" fillId="2" borderId="18" xfId="0" applyNumberFormat="1" applyFill="1" applyBorder="1"/>
    <xf numFmtId="171" fontId="0" fillId="2" borderId="19" xfId="0" applyNumberFormat="1" applyFill="1" applyBorder="1"/>
    <xf numFmtId="0" fontId="0" fillId="0" borderId="17" xfId="0" applyFill="1" applyBorder="1"/>
    <xf numFmtId="171" fontId="0" fillId="0" borderId="18" xfId="0" applyNumberFormat="1" applyFill="1" applyBorder="1"/>
    <xf numFmtId="171" fontId="0" fillId="0" borderId="19" xfId="0" applyNumberFormat="1" applyFill="1" applyBorder="1"/>
    <xf numFmtId="171" fontId="0" fillId="2" borderId="21" xfId="0" applyNumberFormat="1" applyFill="1" applyBorder="1"/>
    <xf numFmtId="171" fontId="0" fillId="0" borderId="6" xfId="0" applyNumberFormat="1" applyBorder="1" applyAlignment="1">
      <alignment wrapText="1"/>
    </xf>
    <xf numFmtId="44" fontId="0" fillId="2" borderId="6" xfId="0" applyNumberFormat="1" applyFill="1" applyBorder="1" applyAlignment="1">
      <alignment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10" fontId="0" fillId="0" borderId="1" xfId="0" applyNumberFormat="1" applyBorder="1"/>
    <xf numFmtId="165" fontId="0" fillId="0" borderId="1" xfId="0" applyNumberFormat="1" applyBorder="1"/>
    <xf numFmtId="9" fontId="0" fillId="0" borderId="1" xfId="0" applyNumberFormat="1" applyBorder="1"/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2" borderId="29" xfId="0" applyFill="1" applyBorder="1" applyAlignment="1">
      <alignment vertical="top" wrapText="1"/>
    </xf>
    <xf numFmtId="0" fontId="0" fillId="2" borderId="13" xfId="0" applyFill="1" applyBorder="1" applyAlignment="1">
      <alignment vertical="top" wrapText="1"/>
    </xf>
    <xf numFmtId="0" fontId="0" fillId="2" borderId="14" xfId="0" applyFill="1" applyBorder="1" applyAlignment="1">
      <alignment wrapText="1"/>
    </xf>
    <xf numFmtId="165" fontId="0" fillId="2" borderId="30" xfId="0" applyNumberFormat="1" applyFill="1" applyBorder="1"/>
    <xf numFmtId="165" fontId="0" fillId="2" borderId="31" xfId="0" applyNumberFormat="1" applyFill="1" applyBorder="1"/>
    <xf numFmtId="0" fontId="0" fillId="4" borderId="13" xfId="0" applyFill="1" applyBorder="1" applyAlignment="1">
      <alignment vertical="top" wrapText="1"/>
    </xf>
    <xf numFmtId="0" fontId="0" fillId="4" borderId="26" xfId="0" applyFill="1" applyBorder="1" applyAlignment="1">
      <alignment wrapText="1"/>
    </xf>
    <xf numFmtId="165" fontId="0" fillId="4" borderId="1" xfId="0" applyNumberFormat="1" applyFill="1" applyBorder="1"/>
    <xf numFmtId="171" fontId="0" fillId="4" borderId="1" xfId="0" applyNumberFormat="1" applyFill="1" applyBorder="1"/>
    <xf numFmtId="171" fontId="0" fillId="4" borderId="27" xfId="0" applyNumberFormat="1" applyFill="1" applyBorder="1"/>
    <xf numFmtId="165" fontId="0" fillId="4" borderId="18" xfId="0" applyNumberFormat="1" applyFill="1" applyBorder="1"/>
    <xf numFmtId="171" fontId="0" fillId="4" borderId="18" xfId="0" applyNumberFormat="1" applyFill="1" applyBorder="1"/>
    <xf numFmtId="171" fontId="0" fillId="4" borderId="28" xfId="0" applyNumberFormat="1" applyFill="1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1" xfId="0" applyBorder="1" applyAlignment="1">
      <alignment horizontal="right" wrapText="1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32" xfId="0" applyBorder="1" applyAlignment="1">
      <alignment horizontal="left"/>
    </xf>
    <xf numFmtId="0" fontId="0" fillId="0" borderId="33" xfId="0" applyBorder="1"/>
    <xf numFmtId="0" fontId="0" fillId="0" borderId="33" xfId="0" applyBorder="1" applyAlignment="1">
      <alignment horizontal="right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6" xfId="0" applyBorder="1"/>
    <xf numFmtId="0" fontId="0" fillId="0" borderId="36" xfId="0" applyBorder="1" applyAlignment="1">
      <alignment horizontal="right"/>
    </xf>
    <xf numFmtId="0" fontId="0" fillId="0" borderId="26" xfId="0" applyBorder="1"/>
    <xf numFmtId="0" fontId="0" fillId="0" borderId="37" xfId="0" applyBorder="1"/>
    <xf numFmtId="2" fontId="0" fillId="0" borderId="0" xfId="0" applyNumberFormat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0" xfId="0" applyFill="1" applyBorder="1"/>
    <xf numFmtId="0" fontId="0" fillId="0" borderId="1" xfId="0" applyBorder="1" applyAlignment="1"/>
    <xf numFmtId="0" fontId="0" fillId="0" borderId="18" xfId="0" applyBorder="1" applyAlignment="1"/>
    <xf numFmtId="0" fontId="0" fillId="0" borderId="0" xfId="0" applyBorder="1" applyAlignment="1">
      <alignment horizontal="right" vertical="top"/>
    </xf>
    <xf numFmtId="0" fontId="0" fillId="0" borderId="18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  <xf numFmtId="164" fontId="0" fillId="0" borderId="0" xfId="0" applyNumberFormat="1" applyBorder="1"/>
    <xf numFmtId="0" fontId="0" fillId="0" borderId="0" xfId="0" applyAlignment="1">
      <alignment vertical="top"/>
    </xf>
    <xf numFmtId="0" fontId="0" fillId="0" borderId="15" xfId="0" applyBorder="1" applyAlignment="1">
      <alignment horizontal="left"/>
    </xf>
    <xf numFmtId="0" fontId="0" fillId="0" borderId="20" xfId="0" applyBorder="1" applyAlignment="1">
      <alignment horizontal="left"/>
    </xf>
    <xf numFmtId="10" fontId="0" fillId="0" borderId="21" xfId="0" applyNumberFormat="1" applyBorder="1"/>
    <xf numFmtId="0" fontId="0" fillId="2" borderId="23" xfId="0" applyFill="1" applyBorder="1" applyAlignment="1">
      <alignment vertical="top" wrapText="1"/>
    </xf>
    <xf numFmtId="0" fontId="0" fillId="2" borderId="24" xfId="0" applyFill="1" applyBorder="1" applyAlignment="1">
      <alignment vertical="top"/>
    </xf>
    <xf numFmtId="0" fontId="0" fillId="2" borderId="24" xfId="0" applyFill="1" applyBorder="1" applyAlignment="1">
      <alignment vertical="top" wrapText="1"/>
    </xf>
    <xf numFmtId="0" fontId="0" fillId="2" borderId="25" xfId="0" applyFill="1" applyBorder="1" applyAlignment="1">
      <alignment vertical="top" wrapText="1"/>
    </xf>
    <xf numFmtId="0" fontId="0" fillId="0" borderId="18" xfId="0" applyBorder="1" applyAlignment="1">
      <alignment vertical="top"/>
    </xf>
    <xf numFmtId="0" fontId="0" fillId="0" borderId="18" xfId="0" applyBorder="1" applyAlignment="1">
      <alignment horizontal="right" vertical="top"/>
    </xf>
    <xf numFmtId="0" fontId="0" fillId="0" borderId="18" xfId="0" applyBorder="1" applyAlignment="1">
      <alignment vertical="top" wrapText="1"/>
    </xf>
    <xf numFmtId="164" fontId="0" fillId="0" borderId="19" xfId="0" applyNumberFormat="1" applyBorder="1" applyAlignment="1">
      <alignment vertical="top"/>
    </xf>
    <xf numFmtId="0" fontId="0" fillId="0" borderId="0" xfId="0" applyAlignment="1"/>
    <xf numFmtId="0" fontId="0" fillId="0" borderId="17" xfId="0" applyBorder="1" applyAlignment="1">
      <alignment horizontal="left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2"/>
  <sheetViews>
    <sheetView tabSelected="1" topLeftCell="A245" zoomScale="170" zoomScaleNormal="170" workbookViewId="0">
      <selection activeCell="A251" sqref="A251"/>
    </sheetView>
  </sheetViews>
  <sheetFormatPr defaultRowHeight="13.8" x14ac:dyDescent="0.25"/>
  <cols>
    <col min="1" max="1" width="8.796875" style="19"/>
    <col min="2" max="2" width="11" customWidth="1"/>
    <col min="3" max="3" width="12.8984375" customWidth="1"/>
    <col min="4" max="4" width="13.59765625" customWidth="1"/>
    <col min="5" max="5" width="12" customWidth="1"/>
    <col min="6" max="6" width="11.3984375" bestFit="1" customWidth="1"/>
    <col min="7" max="8" width="10.3984375" bestFit="1" customWidth="1"/>
    <col min="10" max="10" width="9.59765625" customWidth="1"/>
  </cols>
  <sheetData>
    <row r="1" spans="1:6" x14ac:dyDescent="0.25">
      <c r="A1" s="19" t="s">
        <v>47</v>
      </c>
    </row>
    <row r="2" spans="1:6" x14ac:dyDescent="0.25">
      <c r="A2" s="19" t="s">
        <v>48</v>
      </c>
    </row>
    <row r="3" spans="1:6" x14ac:dyDescent="0.25">
      <c r="A3" s="19" t="s">
        <v>147</v>
      </c>
    </row>
    <row r="4" spans="1:6" x14ac:dyDescent="0.25">
      <c r="A4" s="19" t="s">
        <v>49</v>
      </c>
    </row>
    <row r="5" spans="1:6" x14ac:dyDescent="0.25">
      <c r="B5" s="19" t="s">
        <v>50</v>
      </c>
    </row>
    <row r="6" spans="1:6" x14ac:dyDescent="0.25">
      <c r="B6" t="s">
        <v>51</v>
      </c>
    </row>
    <row r="7" spans="1:6" x14ac:dyDescent="0.25">
      <c r="A7" s="19" t="s">
        <v>54</v>
      </c>
    </row>
    <row r="8" spans="1:6" x14ac:dyDescent="0.25">
      <c r="B8" t="s">
        <v>52</v>
      </c>
    </row>
    <row r="9" spans="1:6" x14ac:dyDescent="0.25">
      <c r="B9" t="s">
        <v>53</v>
      </c>
    </row>
    <row r="10" spans="1:6" x14ac:dyDescent="0.25">
      <c r="B10" t="s">
        <v>55</v>
      </c>
    </row>
    <row r="11" spans="1:6" x14ac:dyDescent="0.25">
      <c r="B11" t="s">
        <v>57</v>
      </c>
    </row>
    <row r="12" spans="1:6" x14ac:dyDescent="0.25">
      <c r="A12" s="19" t="s">
        <v>58</v>
      </c>
    </row>
    <row r="13" spans="1:6" ht="14.4" thickBot="1" x14ac:dyDescent="0.3">
      <c r="A13" s="19" t="s">
        <v>9</v>
      </c>
    </row>
    <row r="14" spans="1:6" x14ac:dyDescent="0.25">
      <c r="B14" s="1" t="s">
        <v>0</v>
      </c>
      <c r="C14" s="2" t="s">
        <v>1</v>
      </c>
      <c r="D14" s="2" t="s">
        <v>56</v>
      </c>
      <c r="E14" s="2" t="s">
        <v>3</v>
      </c>
      <c r="F14" s="3" t="s">
        <v>4</v>
      </c>
    </row>
    <row r="15" spans="1:6" x14ac:dyDescent="0.25">
      <c r="B15" s="4" t="s">
        <v>5</v>
      </c>
      <c r="C15" s="7">
        <v>8000</v>
      </c>
      <c r="D15" s="11">
        <v>10</v>
      </c>
      <c r="E15" s="7">
        <f>C15/D15</f>
        <v>800</v>
      </c>
      <c r="F15" s="9">
        <f>E15/C15</f>
        <v>0.1</v>
      </c>
    </row>
    <row r="16" spans="1:6" x14ac:dyDescent="0.25">
      <c r="B16" s="4" t="s">
        <v>8</v>
      </c>
      <c r="C16" s="7">
        <v>15000</v>
      </c>
      <c r="D16" s="11">
        <v>5</v>
      </c>
      <c r="E16" s="7">
        <f t="shared" ref="E16:E17" si="0">C16/D16</f>
        <v>3000</v>
      </c>
      <c r="F16" s="9">
        <f t="shared" ref="F16:F17" si="1">E16/C16</f>
        <v>0.2</v>
      </c>
    </row>
    <row r="17" spans="1:8" x14ac:dyDescent="0.25">
      <c r="B17" s="4" t="s">
        <v>7</v>
      </c>
      <c r="C17" s="7">
        <v>90000</v>
      </c>
      <c r="D17" s="11">
        <v>8</v>
      </c>
      <c r="E17" s="7">
        <f t="shared" si="0"/>
        <v>11250</v>
      </c>
      <c r="F17" s="9">
        <f t="shared" si="1"/>
        <v>0.125</v>
      </c>
    </row>
    <row r="18" spans="1:8" ht="14.4" thickBot="1" x14ac:dyDescent="0.3">
      <c r="B18" s="5"/>
      <c r="C18" s="8"/>
      <c r="D18" s="12"/>
      <c r="E18" s="6"/>
      <c r="F18" s="10"/>
    </row>
    <row r="21" spans="1:8" ht="41.4" x14ac:dyDescent="0.25">
      <c r="A21" s="19" t="s">
        <v>15</v>
      </c>
      <c r="B21" s="14" t="s">
        <v>10</v>
      </c>
      <c r="C21" s="14" t="s">
        <v>3</v>
      </c>
      <c r="D21" s="14" t="s">
        <v>11</v>
      </c>
      <c r="E21" s="14" t="s">
        <v>12</v>
      </c>
      <c r="F21" s="14" t="s">
        <v>14</v>
      </c>
      <c r="G21" s="15" t="s">
        <v>13</v>
      </c>
    </row>
    <row r="22" spans="1:8" x14ac:dyDescent="0.25">
      <c r="B22" s="14">
        <v>1</v>
      </c>
      <c r="C22" s="7">
        <v>3000</v>
      </c>
      <c r="D22" s="7">
        <v>9000</v>
      </c>
      <c r="E22" s="7">
        <f>C22+D22</f>
        <v>12000</v>
      </c>
      <c r="F22" s="16">
        <v>1500</v>
      </c>
      <c r="G22" s="7">
        <f>E22/F22</f>
        <v>8</v>
      </c>
    </row>
    <row r="23" spans="1:8" x14ac:dyDescent="0.25">
      <c r="B23" s="14">
        <v>2</v>
      </c>
      <c r="C23" s="7">
        <v>3000</v>
      </c>
      <c r="D23" s="7">
        <v>15000</v>
      </c>
      <c r="E23" s="7">
        <f t="shared" ref="E23:E26" si="2">C23+D23</f>
        <v>18000</v>
      </c>
      <c r="F23" s="16">
        <v>1500</v>
      </c>
      <c r="G23" s="7">
        <f t="shared" ref="G23:G26" si="3">E23/F23</f>
        <v>12</v>
      </c>
    </row>
    <row r="24" spans="1:8" x14ac:dyDescent="0.25">
      <c r="B24" s="14">
        <v>3</v>
      </c>
      <c r="C24" s="7">
        <v>3000</v>
      </c>
      <c r="D24" s="7">
        <v>23000</v>
      </c>
      <c r="E24" s="7">
        <f t="shared" si="2"/>
        <v>26000</v>
      </c>
      <c r="F24" s="16">
        <v>1500</v>
      </c>
      <c r="G24" s="7">
        <f t="shared" si="3"/>
        <v>17.333333333333332</v>
      </c>
    </row>
    <row r="25" spans="1:8" x14ac:dyDescent="0.25">
      <c r="B25" s="14">
        <v>4</v>
      </c>
      <c r="C25" s="7">
        <v>3000</v>
      </c>
      <c r="D25" s="7">
        <v>30000</v>
      </c>
      <c r="E25" s="7">
        <f t="shared" si="2"/>
        <v>33000</v>
      </c>
      <c r="F25" s="16">
        <v>1500</v>
      </c>
      <c r="G25" s="7">
        <f t="shared" si="3"/>
        <v>22</v>
      </c>
    </row>
    <row r="26" spans="1:8" x14ac:dyDescent="0.25">
      <c r="B26" s="14">
        <v>5</v>
      </c>
      <c r="C26" s="7">
        <v>3000</v>
      </c>
      <c r="D26" s="7">
        <v>45000</v>
      </c>
      <c r="E26" s="7">
        <f t="shared" si="2"/>
        <v>48000</v>
      </c>
      <c r="F26" s="16">
        <v>1500</v>
      </c>
      <c r="G26" s="7">
        <f t="shared" si="3"/>
        <v>32</v>
      </c>
    </row>
    <row r="27" spans="1:8" x14ac:dyDescent="0.25">
      <c r="C27" s="13">
        <f>SUM(C22:C26)</f>
        <v>15000</v>
      </c>
    </row>
    <row r="28" spans="1:8" x14ac:dyDescent="0.25">
      <c r="A28" s="19" t="s">
        <v>16</v>
      </c>
      <c r="B28">
        <f>3000/15000</f>
        <v>0.2</v>
      </c>
      <c r="C28">
        <f>B28*100</f>
        <v>20</v>
      </c>
      <c r="D28" s="17">
        <f>B28</f>
        <v>0.2</v>
      </c>
    </row>
    <row r="30" spans="1:8" x14ac:dyDescent="0.25">
      <c r="A30" s="19">
        <v>3.4</v>
      </c>
      <c r="B30" t="s">
        <v>1</v>
      </c>
      <c r="C30" s="18">
        <v>42461</v>
      </c>
      <c r="D30" s="13">
        <v>200000</v>
      </c>
      <c r="E30" t="s">
        <v>17</v>
      </c>
      <c r="H30" s="38"/>
    </row>
    <row r="31" spans="1:8" x14ac:dyDescent="0.25">
      <c r="B31" t="s">
        <v>19</v>
      </c>
      <c r="C31" s="18">
        <v>42925</v>
      </c>
      <c r="D31" s="13"/>
      <c r="E31" t="s">
        <v>20</v>
      </c>
      <c r="H31" s="38"/>
    </row>
    <row r="32" spans="1:8" x14ac:dyDescent="0.25">
      <c r="B32" t="s">
        <v>18</v>
      </c>
      <c r="C32" s="18">
        <v>43190</v>
      </c>
      <c r="D32" s="13">
        <v>160000</v>
      </c>
      <c r="E32" t="s">
        <v>21</v>
      </c>
      <c r="H32" s="38"/>
    </row>
    <row r="33" spans="1:10" x14ac:dyDescent="0.25">
      <c r="D33" s="13">
        <v>40000</v>
      </c>
      <c r="E33" t="s">
        <v>22</v>
      </c>
      <c r="F33" t="s">
        <v>59</v>
      </c>
      <c r="H33" s="13">
        <f>D33/24</f>
        <v>1666.6666666666667</v>
      </c>
      <c r="I33" s="17">
        <f>H33/D33</f>
        <v>4.1666666666666671E-2</v>
      </c>
      <c r="J33" t="s">
        <v>23</v>
      </c>
    </row>
    <row r="35" spans="1:10" x14ac:dyDescent="0.25">
      <c r="A35" s="19">
        <v>3.5</v>
      </c>
      <c r="B35" t="s">
        <v>1</v>
      </c>
      <c r="C35" s="20">
        <v>15000</v>
      </c>
    </row>
    <row r="36" spans="1:10" x14ac:dyDescent="0.25">
      <c r="B36" t="s">
        <v>2</v>
      </c>
      <c r="C36" t="s">
        <v>6</v>
      </c>
    </row>
    <row r="37" spans="1:10" x14ac:dyDescent="0.25">
      <c r="B37" t="s">
        <v>24</v>
      </c>
      <c r="C37" s="20">
        <v>3000</v>
      </c>
    </row>
    <row r="38" spans="1:10" x14ac:dyDescent="0.25">
      <c r="B38" t="s">
        <v>25</v>
      </c>
      <c r="C38" s="20">
        <f>C35-C37</f>
        <v>12000</v>
      </c>
    </row>
    <row r="39" spans="1:10" x14ac:dyDescent="0.25">
      <c r="B39" t="s">
        <v>26</v>
      </c>
      <c r="C39" s="20">
        <f>C38/5</f>
        <v>2400</v>
      </c>
    </row>
    <row r="40" spans="1:10" x14ac:dyDescent="0.25">
      <c r="B40" t="s">
        <v>27</v>
      </c>
      <c r="C40" t="s">
        <v>60</v>
      </c>
      <c r="D40">
        <f>C39/C35</f>
        <v>0.16</v>
      </c>
      <c r="E40" t="s">
        <v>28</v>
      </c>
      <c r="F40" s="21">
        <v>0.16</v>
      </c>
    </row>
    <row r="41" spans="1:10" x14ac:dyDescent="0.25">
      <c r="F41" s="21"/>
    </row>
    <row r="42" spans="1:10" x14ac:dyDescent="0.25">
      <c r="A42" s="19">
        <v>3.6</v>
      </c>
      <c r="B42" t="s">
        <v>33</v>
      </c>
      <c r="C42" s="13">
        <v>40000</v>
      </c>
      <c r="D42" s="13"/>
      <c r="F42" s="21"/>
    </row>
    <row r="43" spans="1:10" x14ac:dyDescent="0.25">
      <c r="C43" s="13">
        <v>28000</v>
      </c>
      <c r="D43" s="13">
        <f>C42-C43</f>
        <v>12000</v>
      </c>
      <c r="E43" s="13">
        <v>20000</v>
      </c>
      <c r="F43" s="13">
        <v>15000</v>
      </c>
      <c r="G43" s="13">
        <v>8000</v>
      </c>
      <c r="H43" s="13">
        <v>3000</v>
      </c>
    </row>
    <row r="44" spans="1:10" x14ac:dyDescent="0.25">
      <c r="B44" t="s">
        <v>34</v>
      </c>
      <c r="C44" s="13">
        <v>3000</v>
      </c>
      <c r="D44" s="13"/>
      <c r="E44" s="13">
        <v>20000</v>
      </c>
      <c r="F44" s="13">
        <f>C42-F43</f>
        <v>25000</v>
      </c>
      <c r="G44" s="13">
        <f>C42-G43</f>
        <v>32000</v>
      </c>
      <c r="H44" s="13">
        <f>C42-H43</f>
        <v>37000</v>
      </c>
    </row>
    <row r="45" spans="1:10" ht="14.4" thickBot="1" x14ac:dyDescent="0.3">
      <c r="B45" t="s">
        <v>35</v>
      </c>
      <c r="C45" s="13">
        <f>C42-C44</f>
        <v>37000</v>
      </c>
      <c r="D45" s="13">
        <f>C45/5</f>
        <v>7400</v>
      </c>
      <c r="E45" s="13"/>
    </row>
    <row r="46" spans="1:10" ht="69" x14ac:dyDescent="0.25">
      <c r="A46" s="19" t="s">
        <v>39</v>
      </c>
      <c r="B46" s="1" t="s">
        <v>29</v>
      </c>
      <c r="C46" s="23" t="s">
        <v>62</v>
      </c>
      <c r="D46" s="23" t="s">
        <v>30</v>
      </c>
      <c r="E46" s="2" t="s">
        <v>31</v>
      </c>
      <c r="F46" s="24" t="s">
        <v>32</v>
      </c>
    </row>
    <row r="47" spans="1:10" x14ac:dyDescent="0.25">
      <c r="B47" s="4">
        <v>1</v>
      </c>
      <c r="C47" s="25">
        <v>12000</v>
      </c>
      <c r="D47" s="25">
        <v>5000</v>
      </c>
      <c r="E47" s="25">
        <f>C47+D47</f>
        <v>17000</v>
      </c>
      <c r="F47" s="26">
        <f>E47/B47</f>
        <v>17000</v>
      </c>
    </row>
    <row r="48" spans="1:10" x14ac:dyDescent="0.25">
      <c r="B48" s="4">
        <v>2</v>
      </c>
      <c r="C48" s="25">
        <v>20000</v>
      </c>
      <c r="D48" s="25">
        <f>D47+7000</f>
        <v>12000</v>
      </c>
      <c r="E48" s="25">
        <f>C48+D48</f>
        <v>32000</v>
      </c>
      <c r="F48" s="26">
        <f>E48/B48</f>
        <v>16000</v>
      </c>
    </row>
    <row r="49" spans="1:8" x14ac:dyDescent="0.25">
      <c r="B49" s="4">
        <v>3</v>
      </c>
      <c r="C49" s="25">
        <v>25000</v>
      </c>
      <c r="D49" s="25">
        <f>D48+8000</f>
        <v>20000</v>
      </c>
      <c r="E49" s="25">
        <f>C49+D49</f>
        <v>45000</v>
      </c>
      <c r="F49" s="26">
        <f>E49/B49</f>
        <v>15000</v>
      </c>
      <c r="G49" t="s">
        <v>38</v>
      </c>
    </row>
    <row r="50" spans="1:8" x14ac:dyDescent="0.25">
      <c r="B50" s="4">
        <v>4</v>
      </c>
      <c r="C50" s="7">
        <f>G44</f>
        <v>32000</v>
      </c>
      <c r="D50" s="25">
        <f>D49+10000</f>
        <v>30000</v>
      </c>
      <c r="E50" s="25">
        <f>C50+D50</f>
        <v>62000</v>
      </c>
      <c r="F50" s="26">
        <f>E50/B50</f>
        <v>15500</v>
      </c>
      <c r="G50" t="s">
        <v>61</v>
      </c>
    </row>
    <row r="51" spans="1:8" x14ac:dyDescent="0.25">
      <c r="B51" s="4">
        <v>5</v>
      </c>
      <c r="C51" s="25">
        <v>37000</v>
      </c>
      <c r="D51" s="25">
        <f>D50+20000</f>
        <v>50000</v>
      </c>
      <c r="E51" s="25">
        <f>C51+D51</f>
        <v>87000</v>
      </c>
      <c r="F51" s="27">
        <f>E51/5</f>
        <v>17400</v>
      </c>
    </row>
    <row r="52" spans="1:8" x14ac:dyDescent="0.25">
      <c r="B52" s="4"/>
      <c r="C52" s="25"/>
      <c r="D52" s="25"/>
      <c r="E52" s="25"/>
      <c r="F52" s="27"/>
    </row>
    <row r="53" spans="1:8" ht="14.4" thickBot="1" x14ac:dyDescent="0.3">
      <c r="B53" s="5"/>
      <c r="C53" s="6"/>
      <c r="D53" s="6"/>
      <c r="E53" s="6"/>
      <c r="F53" s="22"/>
    </row>
    <row r="54" spans="1:8" x14ac:dyDescent="0.25">
      <c r="A54" s="19" t="s">
        <v>40</v>
      </c>
      <c r="B54" t="s">
        <v>41</v>
      </c>
    </row>
    <row r="55" spans="1:8" x14ac:dyDescent="0.25">
      <c r="B55" s="13">
        <f>40000-15000</f>
        <v>25000</v>
      </c>
      <c r="C55" t="s">
        <v>42</v>
      </c>
      <c r="D55">
        <f>(25000/40000)/3</f>
        <v>0.20833333333333334</v>
      </c>
      <c r="E55" s="28">
        <f>D55*100</f>
        <v>20.833333333333336</v>
      </c>
      <c r="F55" t="s">
        <v>43</v>
      </c>
    </row>
    <row r="57" spans="1:8" x14ac:dyDescent="0.25">
      <c r="A57" s="19" t="s">
        <v>65</v>
      </c>
      <c r="B57" t="s">
        <v>63</v>
      </c>
    </row>
    <row r="58" spans="1:8" x14ac:dyDescent="0.25">
      <c r="A58" s="19" t="s">
        <v>66</v>
      </c>
      <c r="B58" t="s">
        <v>68</v>
      </c>
      <c r="C58" s="13">
        <v>130000</v>
      </c>
    </row>
    <row r="59" spans="1:8" ht="14.4" thickBot="1" x14ac:dyDescent="0.3">
      <c r="B59" t="s">
        <v>34</v>
      </c>
      <c r="C59" s="13">
        <v>20000</v>
      </c>
    </row>
    <row r="60" spans="1:8" ht="55.2" x14ac:dyDescent="0.25">
      <c r="B60" s="1" t="s">
        <v>29</v>
      </c>
      <c r="C60" s="23" t="s">
        <v>36</v>
      </c>
      <c r="D60" s="23" t="s">
        <v>30</v>
      </c>
      <c r="E60" s="2" t="s">
        <v>45</v>
      </c>
      <c r="F60" s="24" t="s">
        <v>64</v>
      </c>
      <c r="G60" s="24" t="s">
        <v>44</v>
      </c>
    </row>
    <row r="61" spans="1:8" x14ac:dyDescent="0.25">
      <c r="B61" s="4">
        <v>1</v>
      </c>
      <c r="C61" s="13">
        <v>20000</v>
      </c>
      <c r="D61" s="25">
        <v>40000</v>
      </c>
      <c r="E61" s="7">
        <f>C61+D61</f>
        <v>60000</v>
      </c>
      <c r="F61" s="29">
        <v>10000</v>
      </c>
      <c r="G61" s="26">
        <f>E61/F61</f>
        <v>6</v>
      </c>
    </row>
    <row r="62" spans="1:8" x14ac:dyDescent="0.25">
      <c r="B62" s="4">
        <v>2</v>
      </c>
      <c r="C62" s="13">
        <v>20000</v>
      </c>
      <c r="D62" s="25">
        <f>D61+42000</f>
        <v>82000</v>
      </c>
      <c r="E62" s="7">
        <f t="shared" ref="E62:E64" si="4">C62+D62</f>
        <v>102000</v>
      </c>
      <c r="F62" s="29">
        <f>F61+8000</f>
        <v>18000</v>
      </c>
      <c r="G62" s="26">
        <f t="shared" ref="G62:G64" si="5">E62/F62</f>
        <v>5.666666666666667</v>
      </c>
      <c r="H62" t="s">
        <v>37</v>
      </c>
    </row>
    <row r="63" spans="1:8" x14ac:dyDescent="0.25">
      <c r="B63" s="4">
        <v>3</v>
      </c>
      <c r="C63" s="13">
        <v>20000</v>
      </c>
      <c r="D63" s="25">
        <f>D62+55000</f>
        <v>137000</v>
      </c>
      <c r="E63" s="7">
        <f t="shared" si="4"/>
        <v>157000</v>
      </c>
      <c r="F63" s="29">
        <f>F62+5000</f>
        <v>23000</v>
      </c>
      <c r="G63" s="26">
        <f t="shared" si="5"/>
        <v>6.8260869565217392</v>
      </c>
      <c r="H63" s="37"/>
    </row>
    <row r="64" spans="1:8" x14ac:dyDescent="0.25">
      <c r="B64" s="4">
        <v>4</v>
      </c>
      <c r="C64" s="13">
        <v>20000</v>
      </c>
      <c r="D64" s="25">
        <f>D63+65000</f>
        <v>202000</v>
      </c>
      <c r="E64" s="7">
        <f t="shared" si="4"/>
        <v>222000</v>
      </c>
      <c r="F64" s="29">
        <f>F63+3000</f>
        <v>26000</v>
      </c>
      <c r="G64" s="26">
        <f t="shared" si="5"/>
        <v>8.5384615384615383</v>
      </c>
    </row>
    <row r="65" spans="1:8" x14ac:dyDescent="0.25">
      <c r="B65" s="32">
        <v>5</v>
      </c>
      <c r="C65" s="36">
        <v>20000</v>
      </c>
      <c r="D65" s="33"/>
      <c r="E65" s="33"/>
      <c r="F65" s="34">
        <v>0</v>
      </c>
      <c r="G65" s="35"/>
      <c r="H65" t="s">
        <v>46</v>
      </c>
    </row>
    <row r="66" spans="1:8" x14ac:dyDescent="0.25">
      <c r="B66" s="4"/>
      <c r="C66" s="25"/>
      <c r="D66" s="25"/>
      <c r="E66" s="25"/>
      <c r="F66" s="30"/>
      <c r="G66" s="27"/>
    </row>
    <row r="67" spans="1:8" ht="14.4" thickBot="1" x14ac:dyDescent="0.3">
      <c r="B67" s="5"/>
      <c r="C67" s="6"/>
      <c r="D67" s="6"/>
      <c r="E67" s="6"/>
      <c r="F67" s="31"/>
      <c r="G67" s="22"/>
    </row>
    <row r="68" spans="1:8" x14ac:dyDescent="0.25">
      <c r="A68" s="19" t="s">
        <v>67</v>
      </c>
      <c r="B68" t="s">
        <v>69</v>
      </c>
    </row>
    <row r="69" spans="1:8" x14ac:dyDescent="0.25">
      <c r="B69" t="s">
        <v>70</v>
      </c>
    </row>
    <row r="70" spans="1:8" x14ac:dyDescent="0.25">
      <c r="B70" t="s">
        <v>73</v>
      </c>
    </row>
    <row r="71" spans="1:8" x14ac:dyDescent="0.25">
      <c r="B71" t="s">
        <v>72</v>
      </c>
    </row>
    <row r="72" spans="1:8" x14ac:dyDescent="0.25">
      <c r="A72" s="19" t="s">
        <v>71</v>
      </c>
      <c r="B72" t="s">
        <v>74</v>
      </c>
    </row>
    <row r="73" spans="1:8" x14ac:dyDescent="0.25">
      <c r="B73" t="s">
        <v>75</v>
      </c>
    </row>
    <row r="75" spans="1:8" x14ac:dyDescent="0.25">
      <c r="B75" t="s">
        <v>76</v>
      </c>
      <c r="D75" s="39"/>
    </row>
    <row r="76" spans="1:8" x14ac:dyDescent="0.25">
      <c r="B76" t="s">
        <v>77</v>
      </c>
      <c r="D76" s="17"/>
    </row>
    <row r="78" spans="1:8" x14ac:dyDescent="0.25">
      <c r="A78" s="19">
        <v>3.8</v>
      </c>
      <c r="B78" t="s">
        <v>78</v>
      </c>
      <c r="D78" s="13">
        <v>10000</v>
      </c>
    </row>
    <row r="79" spans="1:8" x14ac:dyDescent="0.25">
      <c r="C79" s="42" t="s">
        <v>83</v>
      </c>
      <c r="D79" s="13">
        <v>2000</v>
      </c>
    </row>
    <row r="80" spans="1:8" x14ac:dyDescent="0.25">
      <c r="C80" s="40" t="s">
        <v>79</v>
      </c>
      <c r="D80" s="41">
        <f>D78-D79</f>
        <v>8000</v>
      </c>
    </row>
    <row r="82" spans="1:6" x14ac:dyDescent="0.25">
      <c r="B82" t="s">
        <v>80</v>
      </c>
      <c r="D82" s="40" t="s">
        <v>81</v>
      </c>
      <c r="E82" s="20">
        <v>1000</v>
      </c>
      <c r="F82" t="s">
        <v>82</v>
      </c>
    </row>
    <row r="84" spans="1:6" x14ac:dyDescent="0.25">
      <c r="A84" s="19">
        <v>3.11</v>
      </c>
      <c r="B84" t="s">
        <v>97</v>
      </c>
    </row>
    <row r="85" spans="1:6" x14ac:dyDescent="0.25">
      <c r="C85" s="40" t="s">
        <v>84</v>
      </c>
      <c r="D85" s="43">
        <v>150000</v>
      </c>
    </row>
    <row r="86" spans="1:6" x14ac:dyDescent="0.25">
      <c r="C86" s="40" t="s">
        <v>87</v>
      </c>
      <c r="D86" s="43">
        <v>10000</v>
      </c>
    </row>
    <row r="87" spans="1:6" x14ac:dyDescent="0.25">
      <c r="C87" s="40" t="s">
        <v>85</v>
      </c>
      <c r="D87" s="44">
        <v>15000</v>
      </c>
    </row>
    <row r="88" spans="1:6" x14ac:dyDescent="0.25">
      <c r="C88" s="40" t="s">
        <v>86</v>
      </c>
      <c r="D88" s="43">
        <f>SUM(D85:D87)</f>
        <v>175000</v>
      </c>
    </row>
    <row r="89" spans="1:6" x14ac:dyDescent="0.25">
      <c r="C89" s="42" t="s">
        <v>83</v>
      </c>
      <c r="D89" s="44">
        <v>30000</v>
      </c>
    </row>
    <row r="90" spans="1:6" x14ac:dyDescent="0.25">
      <c r="C90" s="40" t="s">
        <v>95</v>
      </c>
      <c r="D90" s="43">
        <f>D88-D89</f>
        <v>145000</v>
      </c>
    </row>
    <row r="92" spans="1:6" x14ac:dyDescent="0.25">
      <c r="B92" t="s">
        <v>88</v>
      </c>
    </row>
    <row r="93" spans="1:6" ht="14.4" thickBot="1" x14ac:dyDescent="0.3">
      <c r="B93" t="s">
        <v>89</v>
      </c>
    </row>
    <row r="94" spans="1:6" ht="27.6" x14ac:dyDescent="0.25">
      <c r="B94" s="45" t="s">
        <v>90</v>
      </c>
      <c r="C94" s="23" t="s">
        <v>92</v>
      </c>
      <c r="D94" s="2" t="s">
        <v>3</v>
      </c>
      <c r="E94" s="24" t="s">
        <v>91</v>
      </c>
    </row>
    <row r="95" spans="1:6" x14ac:dyDescent="0.25">
      <c r="B95" s="4">
        <v>1</v>
      </c>
      <c r="C95" s="49">
        <v>175000</v>
      </c>
      <c r="D95" s="46">
        <v>29000</v>
      </c>
      <c r="E95" s="47">
        <f>C95-D95</f>
        <v>146000</v>
      </c>
      <c r="F95" t="s">
        <v>93</v>
      </c>
    </row>
    <row r="96" spans="1:6" x14ac:dyDescent="0.25">
      <c r="B96" s="4">
        <v>2</v>
      </c>
      <c r="C96" s="46">
        <f>E95</f>
        <v>146000</v>
      </c>
      <c r="D96" s="46">
        <v>29000</v>
      </c>
      <c r="E96" s="47">
        <f t="shared" ref="E96:E99" si="6">C96-D96</f>
        <v>117000</v>
      </c>
    </row>
    <row r="97" spans="1:6" x14ac:dyDescent="0.25">
      <c r="B97" s="4">
        <v>3</v>
      </c>
      <c r="C97" s="46">
        <f t="shared" ref="C97:C99" si="7">E96</f>
        <v>117000</v>
      </c>
      <c r="D97" s="46">
        <v>29000</v>
      </c>
      <c r="E97" s="47">
        <f t="shared" si="6"/>
        <v>88000</v>
      </c>
    </row>
    <row r="98" spans="1:6" x14ac:dyDescent="0.25">
      <c r="B98" s="4">
        <v>4</v>
      </c>
      <c r="C98" s="46">
        <f t="shared" si="7"/>
        <v>88000</v>
      </c>
      <c r="D98" s="46">
        <v>29000</v>
      </c>
      <c r="E98" s="47">
        <f t="shared" si="6"/>
        <v>59000</v>
      </c>
    </row>
    <row r="99" spans="1:6" ht="14.4" thickBot="1" x14ac:dyDescent="0.3">
      <c r="B99" s="5">
        <v>5</v>
      </c>
      <c r="C99" s="48">
        <f t="shared" si="7"/>
        <v>59000</v>
      </c>
      <c r="D99" s="48">
        <v>29000</v>
      </c>
      <c r="E99" s="51">
        <f t="shared" si="6"/>
        <v>30000</v>
      </c>
      <c r="F99" s="50" t="s">
        <v>94</v>
      </c>
    </row>
    <row r="101" spans="1:6" x14ac:dyDescent="0.25">
      <c r="A101" s="19">
        <v>3.12</v>
      </c>
      <c r="B101" t="s">
        <v>96</v>
      </c>
    </row>
    <row r="102" spans="1:6" x14ac:dyDescent="0.25">
      <c r="B102" t="s">
        <v>97</v>
      </c>
    </row>
    <row r="103" spans="1:6" x14ac:dyDescent="0.25">
      <c r="C103" s="40" t="s">
        <v>84</v>
      </c>
      <c r="D103" s="43">
        <v>50000</v>
      </c>
    </row>
    <row r="104" spans="1:6" x14ac:dyDescent="0.25">
      <c r="C104" s="40" t="s">
        <v>87</v>
      </c>
      <c r="D104" s="43">
        <v>7000</v>
      </c>
    </row>
    <row r="105" spans="1:6" x14ac:dyDescent="0.25">
      <c r="C105" s="40" t="s">
        <v>86</v>
      </c>
      <c r="D105" s="43">
        <f>SUM(D103:D104)</f>
        <v>57000</v>
      </c>
    </row>
    <row r="106" spans="1:6" x14ac:dyDescent="0.25">
      <c r="C106" s="42" t="s">
        <v>83</v>
      </c>
      <c r="D106" s="44">
        <v>5000</v>
      </c>
    </row>
    <row r="107" spans="1:6" x14ac:dyDescent="0.25">
      <c r="C107" s="40" t="s">
        <v>95</v>
      </c>
      <c r="D107" s="43">
        <f>D105-D106</f>
        <v>52000</v>
      </c>
    </row>
    <row r="109" spans="1:6" x14ac:dyDescent="0.25">
      <c r="B109" t="s">
        <v>98</v>
      </c>
    </row>
    <row r="110" spans="1:6" ht="14.4" thickBot="1" x14ac:dyDescent="0.3">
      <c r="B110" t="s">
        <v>89</v>
      </c>
    </row>
    <row r="111" spans="1:6" ht="27.6" x14ac:dyDescent="0.25">
      <c r="B111" s="45" t="s">
        <v>90</v>
      </c>
      <c r="C111" s="23" t="s">
        <v>92</v>
      </c>
      <c r="D111" s="2" t="s">
        <v>3</v>
      </c>
      <c r="E111" s="24" t="s">
        <v>91</v>
      </c>
    </row>
    <row r="112" spans="1:6" x14ac:dyDescent="0.25">
      <c r="B112" s="4">
        <v>1</v>
      </c>
      <c r="C112" s="49">
        <v>57000</v>
      </c>
      <c r="D112" s="46">
        <v>10400</v>
      </c>
      <c r="E112" s="47">
        <f>C112-D112</f>
        <v>46600</v>
      </c>
      <c r="F112" t="s">
        <v>93</v>
      </c>
    </row>
    <row r="113" spans="1:6" x14ac:dyDescent="0.25">
      <c r="B113" s="4">
        <v>2</v>
      </c>
      <c r="C113" s="46">
        <f>E112</f>
        <v>46600</v>
      </c>
      <c r="D113" s="46">
        <v>10400</v>
      </c>
      <c r="E113" s="47">
        <f t="shared" ref="E113:E116" si="8">C113-D113</f>
        <v>36200</v>
      </c>
    </row>
    <row r="114" spans="1:6" x14ac:dyDescent="0.25">
      <c r="B114" s="4">
        <v>3</v>
      </c>
      <c r="C114" s="46">
        <f t="shared" ref="C114:C116" si="9">E113</f>
        <v>36200</v>
      </c>
      <c r="D114" s="46">
        <v>10400</v>
      </c>
      <c r="E114" s="47">
        <f t="shared" si="8"/>
        <v>25800</v>
      </c>
    </row>
    <row r="115" spans="1:6" x14ac:dyDescent="0.25">
      <c r="B115" s="4">
        <v>4</v>
      </c>
      <c r="C115" s="46">
        <f t="shared" si="9"/>
        <v>25800</v>
      </c>
      <c r="D115" s="46">
        <v>10400</v>
      </c>
      <c r="E115" s="47">
        <f t="shared" si="8"/>
        <v>15400</v>
      </c>
    </row>
    <row r="116" spans="1:6" ht="14.4" thickBot="1" x14ac:dyDescent="0.3">
      <c r="B116" s="5">
        <v>5</v>
      </c>
      <c r="C116" s="48">
        <f t="shared" si="9"/>
        <v>15400</v>
      </c>
      <c r="D116" s="46">
        <v>10400</v>
      </c>
      <c r="E116" s="51">
        <f t="shared" si="8"/>
        <v>5000</v>
      </c>
      <c r="F116" s="50" t="s">
        <v>94</v>
      </c>
    </row>
    <row r="118" spans="1:6" x14ac:dyDescent="0.25">
      <c r="A118" s="19">
        <v>3.14</v>
      </c>
      <c r="B118" t="s">
        <v>109</v>
      </c>
    </row>
    <row r="119" spans="1:6" x14ac:dyDescent="0.25">
      <c r="B119" t="s">
        <v>100</v>
      </c>
    </row>
    <row r="120" spans="1:6" x14ac:dyDescent="0.25">
      <c r="B120" t="s">
        <v>99</v>
      </c>
    </row>
    <row r="121" spans="1:6" x14ac:dyDescent="0.25">
      <c r="B121" t="s">
        <v>101</v>
      </c>
    </row>
    <row r="122" spans="1:6" ht="14.4" thickBot="1" x14ac:dyDescent="0.3"/>
    <row r="123" spans="1:6" ht="42.6" thickTop="1" thickBot="1" x14ac:dyDescent="0.3">
      <c r="B123" s="57" t="s">
        <v>102</v>
      </c>
      <c r="C123" s="58" t="s">
        <v>103</v>
      </c>
      <c r="D123" s="58" t="s">
        <v>106</v>
      </c>
      <c r="E123" s="59" t="s">
        <v>105</v>
      </c>
    </row>
    <row r="124" spans="1:6" ht="14.4" thickTop="1" x14ac:dyDescent="0.25">
      <c r="B124" s="55">
        <v>1</v>
      </c>
      <c r="C124" s="65">
        <v>25000</v>
      </c>
      <c r="D124" s="65">
        <f>C124*0.25</f>
        <v>6250</v>
      </c>
      <c r="E124" s="66">
        <f>C124-D124</f>
        <v>18750</v>
      </c>
      <c r="F124" t="s">
        <v>107</v>
      </c>
    </row>
    <row r="125" spans="1:6" x14ac:dyDescent="0.25">
      <c r="B125" s="53">
        <v>2</v>
      </c>
      <c r="C125" s="46">
        <f>E124</f>
        <v>18750</v>
      </c>
      <c r="D125" s="46">
        <f>C125*0.25</f>
        <v>4687.5</v>
      </c>
      <c r="E125" s="67">
        <f>C125-D125</f>
        <v>14062.5</v>
      </c>
    </row>
    <row r="126" spans="1:6" x14ac:dyDescent="0.25">
      <c r="B126" s="53">
        <v>3</v>
      </c>
      <c r="C126" s="46">
        <f t="shared" ref="C126:C131" si="10">E125</f>
        <v>14062.5</v>
      </c>
      <c r="D126" s="46">
        <f t="shared" ref="D126:D131" si="11">C126*0.25</f>
        <v>3515.625</v>
      </c>
      <c r="E126" s="67">
        <f t="shared" ref="E126:E131" si="12">C126-D126</f>
        <v>10546.875</v>
      </c>
    </row>
    <row r="127" spans="1:6" x14ac:dyDescent="0.25">
      <c r="B127" s="53">
        <v>4</v>
      </c>
      <c r="C127" s="46">
        <f t="shared" si="10"/>
        <v>10546.875</v>
      </c>
      <c r="D127" s="46">
        <f t="shared" si="11"/>
        <v>2636.71875</v>
      </c>
      <c r="E127" s="67">
        <f t="shared" si="12"/>
        <v>7910.15625</v>
      </c>
    </row>
    <row r="128" spans="1:6" x14ac:dyDescent="0.25">
      <c r="B128" s="53">
        <v>5</v>
      </c>
      <c r="C128" s="46">
        <f t="shared" si="10"/>
        <v>7910.15625</v>
      </c>
      <c r="D128" s="46">
        <f t="shared" si="11"/>
        <v>1977.5390625</v>
      </c>
      <c r="E128" s="67">
        <f t="shared" si="12"/>
        <v>5932.6171875</v>
      </c>
    </row>
    <row r="129" spans="1:6" x14ac:dyDescent="0.25">
      <c r="B129" s="53">
        <v>6</v>
      </c>
      <c r="C129" s="46">
        <f t="shared" si="10"/>
        <v>5932.6171875</v>
      </c>
      <c r="D129" s="46">
        <f t="shared" si="11"/>
        <v>1483.154296875</v>
      </c>
      <c r="E129" s="67">
        <f t="shared" si="12"/>
        <v>4449.462890625</v>
      </c>
    </row>
    <row r="130" spans="1:6" x14ac:dyDescent="0.25">
      <c r="B130" s="53">
        <v>7</v>
      </c>
      <c r="C130" s="46">
        <f t="shared" si="10"/>
        <v>4449.462890625</v>
      </c>
      <c r="D130" s="46">
        <f t="shared" si="11"/>
        <v>1112.36572265625</v>
      </c>
      <c r="E130" s="67">
        <f t="shared" si="12"/>
        <v>3337.09716796875</v>
      </c>
    </row>
    <row r="131" spans="1:6" ht="14.4" thickBot="1" x14ac:dyDescent="0.3">
      <c r="B131" s="54">
        <v>8</v>
      </c>
      <c r="C131" s="68">
        <f t="shared" si="10"/>
        <v>3337.09716796875</v>
      </c>
      <c r="D131" s="68">
        <f t="shared" si="11"/>
        <v>834.2742919921875</v>
      </c>
      <c r="E131" s="69">
        <f t="shared" si="12"/>
        <v>2502.8228759765625</v>
      </c>
    </row>
    <row r="132" spans="1:6" ht="14.4" thickTop="1" x14ac:dyDescent="0.25"/>
    <row r="134" spans="1:6" x14ac:dyDescent="0.25">
      <c r="A134" s="19">
        <v>3.15</v>
      </c>
      <c r="B134" t="s">
        <v>108</v>
      </c>
    </row>
    <row r="135" spans="1:6" ht="14.4" thickBot="1" x14ac:dyDescent="0.3">
      <c r="B135" t="s">
        <v>111</v>
      </c>
    </row>
    <row r="136" spans="1:6" ht="42.6" thickTop="1" thickBot="1" x14ac:dyDescent="0.3">
      <c r="B136" s="57" t="s">
        <v>102</v>
      </c>
      <c r="C136" s="58" t="s">
        <v>103</v>
      </c>
      <c r="D136" s="58" t="s">
        <v>104</v>
      </c>
      <c r="E136" s="59" t="s">
        <v>105</v>
      </c>
    </row>
    <row r="137" spans="1:6" ht="14.4" thickTop="1" x14ac:dyDescent="0.25">
      <c r="B137" s="55">
        <v>1</v>
      </c>
      <c r="C137" s="65">
        <v>12000</v>
      </c>
      <c r="D137" s="65">
        <f>C137*0.3</f>
        <v>3600</v>
      </c>
      <c r="E137" s="66">
        <f>C137-D137</f>
        <v>8400</v>
      </c>
      <c r="F137" t="s">
        <v>114</v>
      </c>
    </row>
    <row r="138" spans="1:6" x14ac:dyDescent="0.25">
      <c r="B138" s="53">
        <v>2</v>
      </c>
      <c r="C138" s="46">
        <f>E137</f>
        <v>8400</v>
      </c>
      <c r="D138" s="46">
        <f>C138*0.3</f>
        <v>2520</v>
      </c>
      <c r="E138" s="67">
        <f>C138-D138</f>
        <v>5880</v>
      </c>
      <c r="F138" t="s">
        <v>115</v>
      </c>
    </row>
    <row r="139" spans="1:6" x14ac:dyDescent="0.25">
      <c r="B139" s="53">
        <v>3</v>
      </c>
      <c r="C139" s="46">
        <f t="shared" ref="C139:C140" si="13">E138</f>
        <v>5880</v>
      </c>
      <c r="D139" s="46">
        <f t="shared" ref="D139:D140" si="14">C139*0.3</f>
        <v>1764</v>
      </c>
      <c r="E139" s="67">
        <f t="shared" ref="E139:E140" si="15">C139-D139</f>
        <v>4116</v>
      </c>
    </row>
    <row r="140" spans="1:6" x14ac:dyDescent="0.25">
      <c r="B140" s="70">
        <v>4</v>
      </c>
      <c r="C140" s="49">
        <f t="shared" si="13"/>
        <v>4116</v>
      </c>
      <c r="D140" s="49">
        <f t="shared" si="14"/>
        <v>1234.8</v>
      </c>
      <c r="E140" s="71">
        <f t="shared" si="15"/>
        <v>2881.2</v>
      </c>
    </row>
    <row r="141" spans="1:6" ht="14.4" thickBot="1" x14ac:dyDescent="0.3">
      <c r="B141" s="54"/>
      <c r="C141" s="68"/>
      <c r="D141" s="68"/>
      <c r="E141" s="69"/>
    </row>
    <row r="142" spans="1:6" ht="14.4" thickTop="1" x14ac:dyDescent="0.25">
      <c r="B142" t="s">
        <v>110</v>
      </c>
    </row>
    <row r="144" spans="1:6" ht="14.4" thickBot="1" x14ac:dyDescent="0.3">
      <c r="B144" t="s">
        <v>112</v>
      </c>
    </row>
    <row r="145" spans="1:6" ht="56.4" thickTop="1" thickBot="1" x14ac:dyDescent="0.3">
      <c r="B145" s="57" t="s">
        <v>102</v>
      </c>
      <c r="C145" s="58" t="s">
        <v>103</v>
      </c>
      <c r="D145" s="58" t="s">
        <v>113</v>
      </c>
      <c r="E145" s="59" t="s">
        <v>105</v>
      </c>
    </row>
    <row r="146" spans="1:6" ht="14.4" thickTop="1" x14ac:dyDescent="0.25">
      <c r="B146" s="55">
        <v>1</v>
      </c>
      <c r="C146" s="65">
        <v>12000</v>
      </c>
      <c r="D146" s="65">
        <f>C146*0.3</f>
        <v>3600</v>
      </c>
      <c r="E146" s="66">
        <f>C146-D146</f>
        <v>8400</v>
      </c>
      <c r="F146" t="s">
        <v>116</v>
      </c>
    </row>
    <row r="147" spans="1:6" x14ac:dyDescent="0.25">
      <c r="B147" s="53">
        <v>2</v>
      </c>
      <c r="C147" s="46">
        <f>E146</f>
        <v>8400</v>
      </c>
      <c r="D147" s="46">
        <f>C146*0.3</f>
        <v>3600</v>
      </c>
      <c r="E147" s="67">
        <f>C147-D147</f>
        <v>4800</v>
      </c>
    </row>
    <row r="148" spans="1:6" x14ac:dyDescent="0.25">
      <c r="B148" s="53">
        <v>3</v>
      </c>
      <c r="C148" s="46">
        <f>C146*0.3</f>
        <v>3600</v>
      </c>
      <c r="D148" s="46">
        <f>C146*0.3</f>
        <v>3600</v>
      </c>
      <c r="E148" s="67">
        <f t="shared" ref="E148" si="16">C148-D148</f>
        <v>0</v>
      </c>
    </row>
    <row r="149" spans="1:6" x14ac:dyDescent="0.25">
      <c r="B149" s="70">
        <v>4</v>
      </c>
      <c r="C149" s="49">
        <f t="shared" ref="C149" si="17">E148</f>
        <v>0</v>
      </c>
      <c r="D149" s="49"/>
      <c r="E149" s="71"/>
    </row>
    <row r="150" spans="1:6" ht="14.4" thickBot="1" x14ac:dyDescent="0.3">
      <c r="B150" s="54"/>
      <c r="C150" s="68"/>
      <c r="D150" s="68"/>
      <c r="E150" s="69"/>
    </row>
    <row r="151" spans="1:6" ht="14.4" thickTop="1" x14ac:dyDescent="0.25">
      <c r="B151" t="s">
        <v>117</v>
      </c>
    </row>
    <row r="153" spans="1:6" x14ac:dyDescent="0.25">
      <c r="A153" s="19">
        <v>3.17</v>
      </c>
    </row>
    <row r="154" spans="1:6" ht="14.4" thickBot="1" x14ac:dyDescent="0.3"/>
    <row r="155" spans="1:6" ht="42.6" thickTop="1" thickBot="1" x14ac:dyDescent="0.3">
      <c r="B155" s="57" t="s">
        <v>102</v>
      </c>
      <c r="C155" s="58" t="s">
        <v>103</v>
      </c>
      <c r="D155" s="58" t="s">
        <v>118</v>
      </c>
      <c r="E155" s="59" t="s">
        <v>105</v>
      </c>
    </row>
    <row r="156" spans="1:6" ht="14.4" thickTop="1" x14ac:dyDescent="0.25">
      <c r="B156" s="55">
        <v>1</v>
      </c>
      <c r="C156" s="65">
        <v>25000</v>
      </c>
      <c r="D156" s="77">
        <f>C156*0.4</f>
        <v>10000</v>
      </c>
      <c r="E156" s="66">
        <f>C156-D156</f>
        <v>15000</v>
      </c>
      <c r="F156" t="s">
        <v>119</v>
      </c>
    </row>
    <row r="157" spans="1:6" x14ac:dyDescent="0.25">
      <c r="B157" s="53">
        <v>2</v>
      </c>
      <c r="C157" s="46">
        <f>E156</f>
        <v>15000</v>
      </c>
      <c r="D157" s="49">
        <f>C157*0.4</f>
        <v>6000</v>
      </c>
      <c r="E157" s="67">
        <f>C157-D157</f>
        <v>9000</v>
      </c>
      <c r="F157" t="s">
        <v>120</v>
      </c>
    </row>
    <row r="158" spans="1:6" x14ac:dyDescent="0.25">
      <c r="B158" s="53">
        <v>3</v>
      </c>
      <c r="C158" s="46">
        <f t="shared" ref="C158" si="18">E157</f>
        <v>9000</v>
      </c>
      <c r="D158" s="49">
        <f t="shared" ref="D158" si="19">C158*0.4</f>
        <v>3600</v>
      </c>
      <c r="E158" s="67">
        <f t="shared" ref="E158" si="20">C158-D158</f>
        <v>5400</v>
      </c>
    </row>
    <row r="159" spans="1:6" ht="14.4" thickBot="1" x14ac:dyDescent="0.3">
      <c r="B159" s="74"/>
      <c r="C159" s="75"/>
      <c r="D159" s="75"/>
      <c r="E159" s="76"/>
    </row>
    <row r="160" spans="1:6" ht="14.4" thickTop="1" x14ac:dyDescent="0.25">
      <c r="B160" t="s">
        <v>121</v>
      </c>
    </row>
    <row r="162" spans="1:8" x14ac:dyDescent="0.25">
      <c r="A162" s="19" t="s">
        <v>123</v>
      </c>
      <c r="B162" t="s">
        <v>126</v>
      </c>
    </row>
    <row r="163" spans="1:8" x14ac:dyDescent="0.25">
      <c r="B163" t="s">
        <v>131</v>
      </c>
    </row>
    <row r="164" spans="1:8" x14ac:dyDescent="0.25">
      <c r="B164" t="s">
        <v>124</v>
      </c>
    </row>
    <row r="165" spans="1:8" x14ac:dyDescent="0.25">
      <c r="B165" t="s">
        <v>125</v>
      </c>
    </row>
    <row r="166" spans="1:8" x14ac:dyDescent="0.25">
      <c r="B166" t="s">
        <v>128</v>
      </c>
    </row>
    <row r="167" spans="1:8" ht="14.4" thickBot="1" x14ac:dyDescent="0.3">
      <c r="B167" t="s">
        <v>129</v>
      </c>
    </row>
    <row r="168" spans="1:8" ht="55.2" x14ac:dyDescent="0.25">
      <c r="B168" s="1" t="s">
        <v>29</v>
      </c>
      <c r="C168" s="23" t="s">
        <v>18</v>
      </c>
      <c r="D168" s="23" t="s">
        <v>122</v>
      </c>
      <c r="E168" s="23" t="s">
        <v>130</v>
      </c>
      <c r="F168" s="24" t="s">
        <v>45</v>
      </c>
      <c r="G168" s="24" t="s">
        <v>127</v>
      </c>
      <c r="H168" s="24" t="s">
        <v>44</v>
      </c>
    </row>
    <row r="169" spans="1:8" x14ac:dyDescent="0.25">
      <c r="B169" s="4">
        <v>1</v>
      </c>
      <c r="C169" s="46">
        <v>130000</v>
      </c>
      <c r="D169" s="46">
        <v>30000</v>
      </c>
      <c r="E169" s="46">
        <v>50000</v>
      </c>
      <c r="F169" s="78">
        <f>D169+E169</f>
        <v>80000</v>
      </c>
      <c r="G169" s="29">
        <v>12000</v>
      </c>
      <c r="H169" s="26">
        <f>F169/G169</f>
        <v>6.666666666666667</v>
      </c>
    </row>
    <row r="170" spans="1:8" x14ac:dyDescent="0.25">
      <c r="B170" s="4">
        <v>2</v>
      </c>
      <c r="C170" s="46">
        <f>C169-D169</f>
        <v>100000</v>
      </c>
      <c r="D170" s="46">
        <v>30000</v>
      </c>
      <c r="E170" s="46">
        <f>70000+E169</f>
        <v>120000</v>
      </c>
      <c r="F170" s="78">
        <f t="shared" ref="F170:F172" si="21">D170+E170</f>
        <v>150000</v>
      </c>
      <c r="G170" s="29">
        <f>G169+14000</f>
        <v>26000</v>
      </c>
      <c r="H170" s="26">
        <f t="shared" ref="H170:H172" si="22">F170/G170</f>
        <v>5.7692307692307692</v>
      </c>
    </row>
    <row r="171" spans="1:8" x14ac:dyDescent="0.25">
      <c r="B171" s="4">
        <v>3</v>
      </c>
      <c r="C171" s="46">
        <f t="shared" ref="C171:C172" si="23">C170-D170</f>
        <v>70000</v>
      </c>
      <c r="D171" s="46">
        <v>30000</v>
      </c>
      <c r="E171" s="46">
        <f>80000+E170</f>
        <v>200000</v>
      </c>
      <c r="F171" s="78">
        <f t="shared" si="21"/>
        <v>230000</v>
      </c>
      <c r="G171" s="29">
        <f>G170+17000</f>
        <v>43000</v>
      </c>
      <c r="H171" s="79">
        <f t="shared" si="22"/>
        <v>5.3488372093023253</v>
      </c>
    </row>
    <row r="172" spans="1:8" x14ac:dyDescent="0.25">
      <c r="B172" s="4">
        <v>4</v>
      </c>
      <c r="C172" s="46">
        <f t="shared" si="23"/>
        <v>40000</v>
      </c>
      <c r="D172" s="46">
        <v>30000</v>
      </c>
      <c r="E172" s="46">
        <f>100000+E171</f>
        <v>300000</v>
      </c>
      <c r="F172" s="78">
        <f t="shared" si="21"/>
        <v>330000</v>
      </c>
      <c r="G172" s="29">
        <f>G171+10000</f>
        <v>53000</v>
      </c>
      <c r="H172" s="26">
        <f t="shared" si="22"/>
        <v>6.2264150943396226</v>
      </c>
    </row>
    <row r="173" spans="1:8" ht="14.4" thickBot="1" x14ac:dyDescent="0.3">
      <c r="B173" s="5"/>
      <c r="C173" s="6"/>
      <c r="D173" s="6"/>
      <c r="E173" s="6"/>
      <c r="F173" s="31"/>
      <c r="G173" s="22"/>
      <c r="H173" s="22"/>
    </row>
    <row r="175" spans="1:8" x14ac:dyDescent="0.25">
      <c r="B175" t="s">
        <v>132</v>
      </c>
    </row>
    <row r="176" spans="1:8" x14ac:dyDescent="0.25">
      <c r="A176" s="19" t="s">
        <v>133</v>
      </c>
      <c r="B176" t="s">
        <v>134</v>
      </c>
    </row>
    <row r="178" spans="1:6" x14ac:dyDescent="0.25">
      <c r="A178" s="19">
        <v>3.21</v>
      </c>
      <c r="B178" t="s">
        <v>148</v>
      </c>
    </row>
    <row r="179" spans="1:6" ht="27.6" x14ac:dyDescent="0.25">
      <c r="B179" s="80" t="s">
        <v>29</v>
      </c>
      <c r="C179" s="80" t="s">
        <v>136</v>
      </c>
      <c r="D179" s="80" t="s">
        <v>137</v>
      </c>
      <c r="E179" s="81" t="s">
        <v>138</v>
      </c>
      <c r="F179" s="15" t="s">
        <v>139</v>
      </c>
    </row>
    <row r="180" spans="1:6" x14ac:dyDescent="0.25">
      <c r="B180" s="14">
        <v>1</v>
      </c>
      <c r="C180" s="46">
        <v>45000</v>
      </c>
      <c r="D180" s="83">
        <v>5.8999999999999997E-2</v>
      </c>
      <c r="E180" s="46">
        <f>C180*D180</f>
        <v>2655</v>
      </c>
      <c r="F180" s="46">
        <f>E180</f>
        <v>2655</v>
      </c>
    </row>
    <row r="181" spans="1:6" x14ac:dyDescent="0.25">
      <c r="B181" s="14">
        <v>2</v>
      </c>
      <c r="C181" s="46">
        <v>45000</v>
      </c>
      <c r="D181" s="83">
        <v>5.8999999999999997E-2</v>
      </c>
      <c r="E181" s="46">
        <f t="shared" ref="E181:E182" si="24">C181*D181</f>
        <v>2655</v>
      </c>
      <c r="F181" s="46">
        <f>F180+E181</f>
        <v>5310</v>
      </c>
    </row>
    <row r="182" spans="1:6" x14ac:dyDescent="0.25">
      <c r="B182" s="14">
        <v>3</v>
      </c>
      <c r="C182" s="46">
        <v>45000</v>
      </c>
      <c r="D182" s="83">
        <v>5.8999999999999997E-2</v>
      </c>
      <c r="E182" s="46">
        <f t="shared" si="24"/>
        <v>2655</v>
      </c>
      <c r="F182" s="46">
        <f t="shared" ref="F182" si="25">F181+E182</f>
        <v>7965</v>
      </c>
    </row>
    <row r="184" spans="1:6" x14ac:dyDescent="0.25">
      <c r="A184" s="19">
        <v>3.23</v>
      </c>
      <c r="B184" t="s">
        <v>135</v>
      </c>
    </row>
    <row r="185" spans="1:6" ht="27.6" x14ac:dyDescent="0.25">
      <c r="B185" s="80" t="s">
        <v>29</v>
      </c>
      <c r="C185" s="80" t="s">
        <v>136</v>
      </c>
      <c r="D185" s="80" t="s">
        <v>137</v>
      </c>
      <c r="E185" s="81" t="s">
        <v>138</v>
      </c>
      <c r="F185" s="15" t="s">
        <v>139</v>
      </c>
    </row>
    <row r="186" spans="1:6" x14ac:dyDescent="0.25">
      <c r="B186" s="14">
        <v>1</v>
      </c>
      <c r="C186" s="46">
        <v>8600</v>
      </c>
      <c r="D186" s="84">
        <v>7.0000000000000007E-2</v>
      </c>
      <c r="E186" s="46">
        <f>C186*D186</f>
        <v>602.00000000000011</v>
      </c>
      <c r="F186" s="46">
        <f>E186</f>
        <v>602.00000000000011</v>
      </c>
    </row>
    <row r="187" spans="1:6" x14ac:dyDescent="0.25">
      <c r="B187" s="14">
        <v>2</v>
      </c>
      <c r="C187" s="46">
        <v>8600</v>
      </c>
      <c r="D187" s="84">
        <v>7.0000000000000007E-2</v>
      </c>
      <c r="E187" s="46">
        <f t="shared" ref="E187:E190" si="26">C187*D187</f>
        <v>602.00000000000011</v>
      </c>
      <c r="F187" s="46">
        <f>F186+E187</f>
        <v>1204.0000000000002</v>
      </c>
    </row>
    <row r="188" spans="1:6" x14ac:dyDescent="0.25">
      <c r="B188" s="14">
        <v>3</v>
      </c>
      <c r="C188" s="46">
        <v>8600</v>
      </c>
      <c r="D188" s="84">
        <v>7.0000000000000007E-2</v>
      </c>
      <c r="E188" s="46">
        <f t="shared" si="26"/>
        <v>602.00000000000011</v>
      </c>
      <c r="F188" s="46">
        <f t="shared" ref="F188:F189" si="27">F187+E188</f>
        <v>1806.0000000000005</v>
      </c>
    </row>
    <row r="189" spans="1:6" x14ac:dyDescent="0.25">
      <c r="B189" s="14">
        <v>4</v>
      </c>
      <c r="C189" s="46">
        <v>8600</v>
      </c>
      <c r="D189" s="84">
        <v>7.0000000000000007E-2</v>
      </c>
      <c r="E189" s="46">
        <f t="shared" si="26"/>
        <v>602.00000000000011</v>
      </c>
      <c r="F189" s="46">
        <f t="shared" si="27"/>
        <v>2408.0000000000005</v>
      </c>
    </row>
    <row r="190" spans="1:6" x14ac:dyDescent="0.25">
      <c r="B190" s="14">
        <v>5</v>
      </c>
      <c r="C190" s="7">
        <v>0</v>
      </c>
      <c r="D190" s="84">
        <v>7.0000000000000007E-2</v>
      </c>
      <c r="E190" s="46">
        <f t="shared" si="26"/>
        <v>0</v>
      </c>
      <c r="F190" s="46"/>
    </row>
    <row r="192" spans="1:6" ht="14.4" x14ac:dyDescent="0.3">
      <c r="B192" t="s">
        <v>141</v>
      </c>
    </row>
    <row r="194" spans="1:9" x14ac:dyDescent="0.25">
      <c r="A194" s="19" t="s">
        <v>140</v>
      </c>
      <c r="B194" t="s">
        <v>142</v>
      </c>
    </row>
    <row r="195" spans="1:9" ht="14.4" thickBot="1" x14ac:dyDescent="0.3">
      <c r="B195" t="s">
        <v>145</v>
      </c>
    </row>
    <row r="196" spans="1:9" ht="42" thickTop="1" x14ac:dyDescent="0.25">
      <c r="B196" s="85" t="s">
        <v>29</v>
      </c>
      <c r="C196" s="86" t="s">
        <v>136</v>
      </c>
      <c r="D196" s="92" t="s">
        <v>143</v>
      </c>
      <c r="E196" s="92" t="s">
        <v>138</v>
      </c>
      <c r="F196" s="93" t="s">
        <v>139</v>
      </c>
      <c r="G196" s="87" t="s">
        <v>144</v>
      </c>
      <c r="H196" s="88" t="s">
        <v>138</v>
      </c>
      <c r="I196" s="89" t="s">
        <v>139</v>
      </c>
    </row>
    <row r="197" spans="1:9" x14ac:dyDescent="0.25">
      <c r="B197" s="53">
        <v>1</v>
      </c>
      <c r="C197" s="46">
        <v>36000</v>
      </c>
      <c r="D197" s="94">
        <v>6.5000000000000002E-2</v>
      </c>
      <c r="E197" s="95">
        <f>C197*D197</f>
        <v>2340</v>
      </c>
      <c r="F197" s="96">
        <f>E197</f>
        <v>2340</v>
      </c>
      <c r="G197" s="90">
        <v>6.9000000000000006E-2</v>
      </c>
      <c r="H197" s="49">
        <f>C197*G197</f>
        <v>2484</v>
      </c>
      <c r="I197" s="71">
        <f>H197</f>
        <v>2484</v>
      </c>
    </row>
    <row r="198" spans="1:9" x14ac:dyDescent="0.25">
      <c r="B198" s="53">
        <v>2</v>
      </c>
      <c r="C198" s="46">
        <v>36000</v>
      </c>
      <c r="D198" s="94">
        <v>6.5000000000000002E-2</v>
      </c>
      <c r="E198" s="95">
        <f t="shared" ref="E198:E201" si="28">C198*D198</f>
        <v>2340</v>
      </c>
      <c r="F198" s="96">
        <f>F197+E198</f>
        <v>4680</v>
      </c>
      <c r="G198" s="90">
        <v>6.9000000000000006E-2</v>
      </c>
      <c r="H198" s="49">
        <f t="shared" ref="H198:H201" si="29">C198*G198</f>
        <v>2484</v>
      </c>
      <c r="I198" s="71">
        <f>I197+H198</f>
        <v>4968</v>
      </c>
    </row>
    <row r="199" spans="1:9" x14ac:dyDescent="0.25">
      <c r="B199" s="53">
        <v>3</v>
      </c>
      <c r="C199" s="46">
        <v>36000</v>
      </c>
      <c r="D199" s="94">
        <v>6.5000000000000002E-2</v>
      </c>
      <c r="E199" s="95">
        <f t="shared" si="28"/>
        <v>2340</v>
      </c>
      <c r="F199" s="96">
        <f t="shared" ref="F199:F200" si="30">F198+E199</f>
        <v>7020</v>
      </c>
      <c r="G199" s="90">
        <v>6.9000000000000006E-2</v>
      </c>
      <c r="H199" s="49">
        <f t="shared" si="29"/>
        <v>2484</v>
      </c>
      <c r="I199" s="71">
        <f t="shared" ref="I199:I200" si="31">I198+H199</f>
        <v>7452</v>
      </c>
    </row>
    <row r="200" spans="1:9" x14ac:dyDescent="0.25">
      <c r="B200" s="53">
        <v>4</v>
      </c>
      <c r="C200" s="46">
        <v>36000</v>
      </c>
      <c r="D200" s="94">
        <v>6.5000000000000002E-2</v>
      </c>
      <c r="E200" s="95">
        <f t="shared" si="28"/>
        <v>2340</v>
      </c>
      <c r="F200" s="96">
        <f t="shared" si="30"/>
        <v>9360</v>
      </c>
      <c r="G200" s="90">
        <v>6.9000000000000006E-2</v>
      </c>
      <c r="H200" s="49">
        <f t="shared" si="29"/>
        <v>2484</v>
      </c>
      <c r="I200" s="71">
        <f t="shared" si="31"/>
        <v>9936</v>
      </c>
    </row>
    <row r="201" spans="1:9" ht="14.4" thickBot="1" x14ac:dyDescent="0.3">
      <c r="B201" s="54">
        <v>5</v>
      </c>
      <c r="C201" s="63">
        <v>0</v>
      </c>
      <c r="D201" s="97">
        <v>6.5000000000000002E-2</v>
      </c>
      <c r="E201" s="98">
        <f t="shared" si="28"/>
        <v>0</v>
      </c>
      <c r="F201" s="99"/>
      <c r="G201" s="91">
        <v>6.9000000000000006E-2</v>
      </c>
      <c r="H201" s="72">
        <f t="shared" si="29"/>
        <v>0</v>
      </c>
      <c r="I201" s="73"/>
    </row>
    <row r="202" spans="1:9" ht="14.4" thickTop="1" x14ac:dyDescent="0.25">
      <c r="B202" t="s">
        <v>146</v>
      </c>
    </row>
    <row r="204" spans="1:9" x14ac:dyDescent="0.25">
      <c r="A204" s="19">
        <v>3.26</v>
      </c>
      <c r="B204" t="s">
        <v>149</v>
      </c>
    </row>
    <row r="205" spans="1:9" x14ac:dyDescent="0.25">
      <c r="B205" t="s">
        <v>150</v>
      </c>
    </row>
    <row r="207" spans="1:9" ht="41.4" x14ac:dyDescent="0.25">
      <c r="B207" s="80" t="s">
        <v>29</v>
      </c>
      <c r="C207" s="80" t="s">
        <v>136</v>
      </c>
      <c r="D207" s="80" t="s">
        <v>137</v>
      </c>
      <c r="E207" s="81" t="s">
        <v>152</v>
      </c>
      <c r="F207" s="103" t="s">
        <v>151</v>
      </c>
    </row>
    <row r="208" spans="1:9" x14ac:dyDescent="0.25">
      <c r="B208" s="14">
        <v>1</v>
      </c>
      <c r="C208" s="46">
        <v>3300</v>
      </c>
      <c r="D208" s="82">
        <v>6.25E-2</v>
      </c>
      <c r="E208" s="46">
        <f>C208*D208</f>
        <v>206.25</v>
      </c>
      <c r="F208" s="46">
        <f>(E208/12)*10</f>
        <v>171.875</v>
      </c>
    </row>
    <row r="210" spans="1:9" x14ac:dyDescent="0.25">
      <c r="B210" t="s">
        <v>153</v>
      </c>
    </row>
    <row r="211" spans="1:9" x14ac:dyDescent="0.25">
      <c r="C211" t="s">
        <v>154</v>
      </c>
      <c r="E211" s="100" t="s">
        <v>155</v>
      </c>
      <c r="F211" s="50" t="s">
        <v>156</v>
      </c>
    </row>
    <row r="212" spans="1:9" x14ac:dyDescent="0.25">
      <c r="E212" s="101">
        <v>100</v>
      </c>
    </row>
    <row r="214" spans="1:9" x14ac:dyDescent="0.25">
      <c r="C214" t="s">
        <v>157</v>
      </c>
      <c r="G214" s="102" t="s">
        <v>158</v>
      </c>
      <c r="H214" s="50" t="s">
        <v>160</v>
      </c>
    </row>
    <row r="215" spans="1:9" x14ac:dyDescent="0.25">
      <c r="G215" s="101">
        <v>12</v>
      </c>
    </row>
    <row r="217" spans="1:9" x14ac:dyDescent="0.25">
      <c r="C217" t="s">
        <v>159</v>
      </c>
      <c r="G217" t="s">
        <v>161</v>
      </c>
      <c r="H217" s="50" t="s">
        <v>162</v>
      </c>
    </row>
    <row r="218" spans="1:9" x14ac:dyDescent="0.25">
      <c r="H218" s="40" t="s">
        <v>163</v>
      </c>
      <c r="I218" s="20">
        <v>172</v>
      </c>
    </row>
    <row r="220" spans="1:9" x14ac:dyDescent="0.25">
      <c r="A220" s="19">
        <v>3.27</v>
      </c>
      <c r="B220" t="s">
        <v>164</v>
      </c>
    </row>
    <row r="221" spans="1:9" x14ac:dyDescent="0.25">
      <c r="B221" t="s">
        <v>165</v>
      </c>
    </row>
    <row r="222" spans="1:9" x14ac:dyDescent="0.25">
      <c r="B222" t="s">
        <v>186</v>
      </c>
    </row>
    <row r="223" spans="1:9" x14ac:dyDescent="0.25">
      <c r="B223" t="s">
        <v>166</v>
      </c>
    </row>
    <row r="224" spans="1:9" x14ac:dyDescent="0.25">
      <c r="D224" s="40" t="s">
        <v>167</v>
      </c>
      <c r="E224" s="104" t="s">
        <v>168</v>
      </c>
      <c r="F224" s="50" t="s">
        <v>169</v>
      </c>
      <c r="G224" t="s">
        <v>185</v>
      </c>
    </row>
    <row r="225" spans="1:9" x14ac:dyDescent="0.25">
      <c r="E225" s="101">
        <v>100</v>
      </c>
      <c r="G225" t="s">
        <v>194</v>
      </c>
    </row>
    <row r="226" spans="1:9" ht="14.4" thickBot="1" x14ac:dyDescent="0.3">
      <c r="G226" t="s">
        <v>193</v>
      </c>
    </row>
    <row r="227" spans="1:9" ht="14.4" thickTop="1" x14ac:dyDescent="0.25">
      <c r="A227" s="108"/>
      <c r="B227" s="109"/>
      <c r="C227" s="110"/>
      <c r="D227" s="52" t="s">
        <v>190</v>
      </c>
      <c r="E227" s="115" t="s">
        <v>171</v>
      </c>
      <c r="F227" s="116" t="s">
        <v>189</v>
      </c>
      <c r="H227" s="40" t="s">
        <v>197</v>
      </c>
      <c r="I227" s="122" t="s">
        <v>195</v>
      </c>
    </row>
    <row r="228" spans="1:9" x14ac:dyDescent="0.25">
      <c r="A228" s="111"/>
      <c r="B228" s="106"/>
      <c r="C228" s="107" t="s">
        <v>170</v>
      </c>
      <c r="D228" s="14" t="s">
        <v>187</v>
      </c>
      <c r="E228" s="123">
        <f>18+31+30+27</f>
        <v>106</v>
      </c>
      <c r="F228" s="62">
        <f>(2800/365)*E228</f>
        <v>813.15068493150682</v>
      </c>
      <c r="G228" t="s">
        <v>196</v>
      </c>
    </row>
    <row r="229" spans="1:9" ht="27.6" x14ac:dyDescent="0.25">
      <c r="A229" s="111"/>
      <c r="B229" s="106"/>
      <c r="C229" s="125" t="s">
        <v>172</v>
      </c>
      <c r="D229" s="15" t="s">
        <v>191</v>
      </c>
      <c r="E229" s="123">
        <f>27+28+31+30+31+12</f>
        <v>159</v>
      </c>
      <c r="F229" s="62">
        <v>1219.73</v>
      </c>
      <c r="G229" s="40"/>
      <c r="H229" s="40"/>
    </row>
    <row r="230" spans="1:9" ht="27.6" x14ac:dyDescent="0.25">
      <c r="A230" s="111"/>
      <c r="B230" s="106"/>
      <c r="C230" s="107" t="s">
        <v>173</v>
      </c>
      <c r="D230" s="15" t="s">
        <v>188</v>
      </c>
      <c r="E230" s="123">
        <f>15+30+31+31+30+31+28</f>
        <v>196</v>
      </c>
      <c r="F230" s="62">
        <v>1503.56</v>
      </c>
    </row>
    <row r="231" spans="1:9" ht="42" thickBot="1" x14ac:dyDescent="0.3">
      <c r="A231" s="112"/>
      <c r="B231" s="113"/>
      <c r="C231" s="114" t="s">
        <v>174</v>
      </c>
      <c r="D231" s="126" t="s">
        <v>192</v>
      </c>
      <c r="E231" s="124">
        <f>17+30+31+30+31+31+30+31+30+23</f>
        <v>284</v>
      </c>
      <c r="F231" s="64">
        <v>2178.63</v>
      </c>
    </row>
    <row r="232" spans="1:9" ht="14.4" thickTop="1" x14ac:dyDescent="0.25">
      <c r="A232" s="105"/>
      <c r="B232" s="106"/>
      <c r="C232" s="107"/>
      <c r="D232" s="127"/>
      <c r="E232" s="128"/>
      <c r="F232" s="129"/>
    </row>
    <row r="233" spans="1:9" x14ac:dyDescent="0.25">
      <c r="A233" s="117">
        <v>3.3</v>
      </c>
      <c r="B233" t="s">
        <v>175</v>
      </c>
    </row>
    <row r="234" spans="1:9" x14ac:dyDescent="0.25">
      <c r="B234" t="s">
        <v>176</v>
      </c>
    </row>
    <row r="235" spans="1:9" x14ac:dyDescent="0.25">
      <c r="B235" t="s">
        <v>179</v>
      </c>
    </row>
    <row r="236" spans="1:9" x14ac:dyDescent="0.25">
      <c r="B236" s="104" t="s">
        <v>177</v>
      </c>
      <c r="C236" s="50" t="s">
        <v>178</v>
      </c>
      <c r="D236" t="s">
        <v>198</v>
      </c>
    </row>
    <row r="237" spans="1:9" x14ac:dyDescent="0.25">
      <c r="B237" s="101">
        <v>100</v>
      </c>
    </row>
    <row r="238" spans="1:9" x14ac:dyDescent="0.25">
      <c r="B238" s="101"/>
      <c r="E238" t="s">
        <v>183</v>
      </c>
    </row>
    <row r="239" spans="1:9" ht="27.6" x14ac:dyDescent="0.25">
      <c r="B239" s="119" t="s">
        <v>29</v>
      </c>
      <c r="C239" s="120" t="s">
        <v>180</v>
      </c>
      <c r="D239" s="121" t="s">
        <v>182</v>
      </c>
      <c r="E239" s="120" t="s">
        <v>181</v>
      </c>
    </row>
    <row r="240" spans="1:9" x14ac:dyDescent="0.25">
      <c r="B240" s="118">
        <v>1</v>
      </c>
      <c r="C240" s="46">
        <v>20500</v>
      </c>
      <c r="D240" s="46">
        <f>(C240*6.2)/100</f>
        <v>1271</v>
      </c>
      <c r="E240" s="46">
        <f>C240+D240</f>
        <v>21771</v>
      </c>
    </row>
    <row r="241" spans="1:10" x14ac:dyDescent="0.25">
      <c r="B241" s="118">
        <v>2</v>
      </c>
      <c r="C241" s="46">
        <f>E240</f>
        <v>21771</v>
      </c>
      <c r="D241" s="46">
        <f t="shared" ref="D241:D243" si="32">(C241*6.2)/100</f>
        <v>1349.8020000000001</v>
      </c>
      <c r="E241" s="46">
        <f t="shared" ref="E241:E244" si="33">C241+D241</f>
        <v>23120.802</v>
      </c>
    </row>
    <row r="242" spans="1:10" x14ac:dyDescent="0.25">
      <c r="B242" s="118">
        <v>3</v>
      </c>
      <c r="C242" s="46">
        <f t="shared" ref="C242:C244" si="34">E241</f>
        <v>23120.802</v>
      </c>
      <c r="D242" s="46">
        <f t="shared" si="32"/>
        <v>1433.489724</v>
      </c>
      <c r="E242" s="46">
        <f t="shared" si="33"/>
        <v>24554.291723999999</v>
      </c>
    </row>
    <row r="243" spans="1:10" x14ac:dyDescent="0.25">
      <c r="B243" s="118">
        <v>4</v>
      </c>
      <c r="C243" s="46">
        <f t="shared" si="34"/>
        <v>24554.291723999999</v>
      </c>
      <c r="D243" s="46">
        <f t="shared" si="32"/>
        <v>1522.3660868879999</v>
      </c>
      <c r="E243" s="46">
        <f t="shared" si="33"/>
        <v>26076.657810887998</v>
      </c>
    </row>
    <row r="244" spans="1:10" x14ac:dyDescent="0.25">
      <c r="B244" s="118">
        <v>5</v>
      </c>
      <c r="C244" s="46">
        <f t="shared" si="34"/>
        <v>26076.657810887998</v>
      </c>
      <c r="D244" s="46">
        <f>(C244*6.2)/100</f>
        <v>1616.752784275056</v>
      </c>
      <c r="E244" s="46">
        <f t="shared" si="33"/>
        <v>27693.410595163055</v>
      </c>
      <c r="F244" t="s">
        <v>184</v>
      </c>
    </row>
    <row r="246" spans="1:10" x14ac:dyDescent="0.25">
      <c r="A246" s="19">
        <v>3.1</v>
      </c>
      <c r="B246" t="s">
        <v>199</v>
      </c>
    </row>
    <row r="247" spans="1:10" ht="14.4" thickBot="1" x14ac:dyDescent="0.3">
      <c r="B247" t="s">
        <v>212</v>
      </c>
    </row>
    <row r="248" spans="1:10" ht="56.4" thickTop="1" thickBot="1" x14ac:dyDescent="0.3">
      <c r="A248" s="134" t="s">
        <v>208</v>
      </c>
      <c r="B248" s="135" t="s">
        <v>200</v>
      </c>
      <c r="C248" s="136" t="s">
        <v>201</v>
      </c>
      <c r="D248" s="136" t="s">
        <v>211</v>
      </c>
      <c r="E248" s="136" t="s">
        <v>202</v>
      </c>
      <c r="F248" s="135" t="s">
        <v>203</v>
      </c>
      <c r="G248" s="136" t="s">
        <v>204</v>
      </c>
      <c r="H248" s="136" t="s">
        <v>205</v>
      </c>
      <c r="I248" s="136" t="s">
        <v>206</v>
      </c>
      <c r="J248" s="137" t="s">
        <v>207</v>
      </c>
    </row>
    <row r="249" spans="1:10" ht="14.4" thickTop="1" x14ac:dyDescent="0.25">
      <c r="A249" s="132" t="s">
        <v>209</v>
      </c>
      <c r="B249" s="56">
        <v>18</v>
      </c>
      <c r="C249" s="133">
        <v>0.45500000000000002</v>
      </c>
      <c r="D249" s="60">
        <v>640.45799999999997</v>
      </c>
      <c r="E249" s="56">
        <v>25</v>
      </c>
      <c r="F249" s="60">
        <f>(D249/40)*25</f>
        <v>400.28625</v>
      </c>
      <c r="G249" s="60">
        <f>(F249*8)/100</f>
        <v>32.0229</v>
      </c>
      <c r="H249" s="60">
        <f>F249+G249</f>
        <v>432.30914999999999</v>
      </c>
      <c r="I249" s="60">
        <f>(H249*28)/100</f>
        <v>121.04656199999999</v>
      </c>
      <c r="J249" s="61">
        <f>H249+I249</f>
        <v>553.35571200000004</v>
      </c>
    </row>
    <row r="250" spans="1:10" x14ac:dyDescent="0.25">
      <c r="A250" s="131" t="s">
        <v>210</v>
      </c>
      <c r="B250" s="14">
        <v>21</v>
      </c>
      <c r="C250" s="82">
        <v>0.72499999999999998</v>
      </c>
      <c r="D250" s="7">
        <v>1020.51</v>
      </c>
      <c r="E250" s="14">
        <v>36</v>
      </c>
      <c r="F250" s="7">
        <f>(D250/40)*36</f>
        <v>918.45900000000006</v>
      </c>
      <c r="G250" s="7">
        <f>(F250*8)/100</f>
        <v>73.47672</v>
      </c>
      <c r="H250" s="7">
        <f>F250+G250</f>
        <v>991.93572000000006</v>
      </c>
      <c r="I250" s="7">
        <f>(H250*28)/100</f>
        <v>277.74200159999998</v>
      </c>
      <c r="J250" s="62">
        <f>H250+I250</f>
        <v>1269.6777216</v>
      </c>
    </row>
    <row r="251" spans="1:10" s="130" customFormat="1" ht="97.2" thickBot="1" x14ac:dyDescent="0.3">
      <c r="A251" s="143" t="s">
        <v>219</v>
      </c>
      <c r="B251" s="138"/>
      <c r="C251" s="139"/>
      <c r="D251" s="139" t="s">
        <v>213</v>
      </c>
      <c r="E251" s="140" t="s">
        <v>214</v>
      </c>
      <c r="F251" s="140" t="s">
        <v>215</v>
      </c>
      <c r="G251" s="140" t="s">
        <v>216</v>
      </c>
      <c r="H251" s="140" t="s">
        <v>217</v>
      </c>
      <c r="I251" s="140" t="s">
        <v>218</v>
      </c>
      <c r="J251" s="141">
        <f>SUM(J249:J250)</f>
        <v>1823.0334336000001</v>
      </c>
    </row>
    <row r="252" spans="1:10" ht="14.4" thickTop="1" x14ac:dyDescent="0.25">
      <c r="F252" s="142"/>
    </row>
  </sheetData>
  <pageMargins left="0.7" right="0.7" top="0.75" bottom="0.75" header="0.3" footer="0.3"/>
  <pageSetup paperSize="9" orientation="portrait" verticalDpi="0" r:id="rId1"/>
  <ignoredErrors>
    <ignoredError sqref="I24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uitwerkingen huiswerk</vt:lpstr>
    </vt:vector>
  </TitlesOfParts>
  <Company>AOC Oost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Géraar de Jong</dc:creator>
  <cp:lastModifiedBy>Géraar de Jong</cp:lastModifiedBy>
  <dcterms:created xsi:type="dcterms:W3CDTF">2019-10-01T08:36:47Z</dcterms:created>
  <dcterms:modified xsi:type="dcterms:W3CDTF">2019-10-20T17:57:14Z</dcterms:modified>
</cp:coreProperties>
</file>